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eer Reviewed\SVL Interest Rate Modernization WG\"/>
    </mc:Choice>
  </mc:AlternateContent>
  <bookViews>
    <workbookView xWindow="0" yWindow="0" windowWidth="19200" windowHeight="11595"/>
  </bookViews>
  <sheets>
    <sheet name="Read Me" sheetId="83" r:id="rId1"/>
    <sheet name="Inputs" sheetId="85" r:id="rId2"/>
    <sheet name="Summary" sheetId="78" r:id="rId3"/>
    <sheet name="Asset and Liability Durations" sheetId="1" r:id="rId4"/>
    <sheet name="Sensitivities" sheetId="84" r:id="rId5"/>
    <sheet name="Annual Single Life 55" sheetId="34" r:id="rId6"/>
    <sheet name="Annual Single Life 55 RP=15" sheetId="75" r:id="rId7"/>
    <sheet name="Annual Single Life 60" sheetId="31" r:id="rId8"/>
    <sheet name="Annual Single Life 60 RP=15" sheetId="76" r:id="rId9"/>
    <sheet name="Annual Single Life 65" sheetId="28" r:id="rId10"/>
    <sheet name="Annual Single Life 65 RP=15" sheetId="77" r:id="rId11"/>
    <sheet name="Annual Single Life 70" sheetId="32" r:id="rId12"/>
    <sheet name="Annual Single Life 70 RP=15" sheetId="59" r:id="rId13"/>
    <sheet name="Annual Single Life 75" sheetId="29" r:id="rId14"/>
    <sheet name="Annual Single Life 75 RP=10" sheetId="60" r:id="rId15"/>
    <sheet name="Annual Single Life 75 RP=15" sheetId="61" r:id="rId16"/>
    <sheet name="Annual Single Life 75 RP=20" sheetId="64" r:id="rId17"/>
    <sheet name="Annual Single Life 80" sheetId="33" r:id="rId18"/>
    <sheet name="Annual Single Life 80 RP=5" sheetId="62" r:id="rId19"/>
    <sheet name="Annual Single Life 80 RP=10" sheetId="65" r:id="rId20"/>
    <sheet name="Annual Single Life 80 RP=15" sheetId="66" r:id="rId21"/>
    <sheet name="Annual Single Life 80 RP=20" sheetId="67" r:id="rId22"/>
    <sheet name="Annual Single Life 85" sheetId="30" r:id="rId23"/>
    <sheet name="Annual Single Life 85 RP=5" sheetId="71" r:id="rId24"/>
    <sheet name="Annual Single Life 85 RP=10" sheetId="72" r:id="rId25"/>
    <sheet name="Annual Single Life 85 RP=15" sheetId="73" r:id="rId26"/>
    <sheet name="Annual Single Life 85 RP=20" sheetId="74" r:id="rId27"/>
    <sheet name="Annual Single Life 91" sheetId="35" r:id="rId28"/>
    <sheet name="Annual Single Life 91 RP=5" sheetId="63" r:id="rId29"/>
    <sheet name="Annual Single Life 91 RP=10" sheetId="68" r:id="rId30"/>
    <sheet name="Annual Single Life 91 RP=15" sheetId="69" r:id="rId31"/>
    <sheet name="Annual Single Life 91 RP=20" sheetId="70" r:id="rId32"/>
    <sheet name="5Y Term Certain" sheetId="7" r:id="rId33"/>
    <sheet name="10Y Term Certain" sheetId="2" r:id="rId34"/>
    <sheet name="15Y Term Certain " sheetId="16" r:id="rId35"/>
    <sheet name="25Y Term Certain" sheetId="80" r:id="rId36"/>
    <sheet name="Joint Life 55" sheetId="81" r:id="rId37"/>
    <sheet name="Joint Life 55 RP = 15" sheetId="82" r:id="rId38"/>
    <sheet name="Joint Life 91" sheetId="26" r:id="rId3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84" l="1"/>
  <c r="P8" i="84"/>
  <c r="N8" i="84"/>
  <c r="M8" i="84"/>
  <c r="G6" i="82"/>
  <c r="G7" i="82"/>
  <c r="G8" i="82"/>
  <c r="G9" i="82"/>
  <c r="G10" i="82"/>
  <c r="G11" i="82"/>
  <c r="G12" i="82"/>
  <c r="G13" i="82"/>
  <c r="G14" i="82"/>
  <c r="G15" i="82"/>
  <c r="G16" i="82"/>
  <c r="G17" i="82"/>
  <c r="G18" i="82"/>
  <c r="G19" i="82"/>
  <c r="G5" i="82"/>
  <c r="E6" i="82"/>
  <c r="E7" i="82" s="1"/>
  <c r="E8" i="82" s="1"/>
  <c r="E9" i="82" s="1"/>
  <c r="E10" i="82" s="1"/>
  <c r="E11" i="82" s="1"/>
  <c r="E12" i="82" s="1"/>
  <c r="E13" i="82" s="1"/>
  <c r="E14" i="82" s="1"/>
  <c r="E15" i="82" s="1"/>
  <c r="E16" i="82" s="1"/>
  <c r="E17" i="82" s="1"/>
  <c r="E18" i="82" s="1"/>
  <c r="E19" i="82" s="1"/>
  <c r="E5" i="82"/>
  <c r="E5" i="70"/>
  <c r="E6" i="70" s="1"/>
  <c r="E7" i="70" s="1"/>
  <c r="E8" i="70" s="1"/>
  <c r="E9" i="70" s="1"/>
  <c r="E10" i="70" s="1"/>
  <c r="E11" i="70" s="1"/>
  <c r="E12" i="70" s="1"/>
  <c r="E13" i="70" s="1"/>
  <c r="E14" i="70" s="1"/>
  <c r="E15" i="70" s="1"/>
  <c r="E16" i="70" s="1"/>
  <c r="E17" i="70" s="1"/>
  <c r="E18" i="70" s="1"/>
  <c r="E19" i="70" s="1"/>
  <c r="E20" i="70" s="1"/>
  <c r="E21" i="70" s="1"/>
  <c r="E22" i="70" s="1"/>
  <c r="E23" i="70" s="1"/>
  <c r="E24" i="70" s="1"/>
  <c r="E5" i="69"/>
  <c r="E6" i="69" s="1"/>
  <c r="E7" i="69" s="1"/>
  <c r="E8" i="69" s="1"/>
  <c r="E9" i="69" s="1"/>
  <c r="E10" i="69" s="1"/>
  <c r="E11" i="69" s="1"/>
  <c r="E12" i="69" s="1"/>
  <c r="E13" i="69" s="1"/>
  <c r="E14" i="69" s="1"/>
  <c r="E15" i="69" s="1"/>
  <c r="E16" i="69" s="1"/>
  <c r="E17" i="69" s="1"/>
  <c r="E18" i="69" s="1"/>
  <c r="E19" i="69" s="1"/>
  <c r="E5" i="68"/>
  <c r="E6" i="68" s="1"/>
  <c r="E7" i="68" s="1"/>
  <c r="E8" i="68" s="1"/>
  <c r="E9" i="68" s="1"/>
  <c r="E10" i="68" s="1"/>
  <c r="E11" i="68" s="1"/>
  <c r="E12" i="68" s="1"/>
  <c r="E13" i="68" s="1"/>
  <c r="E14" i="68" s="1"/>
  <c r="E5" i="63"/>
  <c r="E6" i="63" s="1"/>
  <c r="E7" i="63" s="1"/>
  <c r="E8" i="63" s="1"/>
  <c r="E9" i="63" s="1"/>
  <c r="E5" i="74"/>
  <c r="E6" i="74" s="1"/>
  <c r="E7" i="74" s="1"/>
  <c r="E8" i="74" s="1"/>
  <c r="E9" i="74" s="1"/>
  <c r="E10" i="74" s="1"/>
  <c r="E11" i="74" s="1"/>
  <c r="E12" i="74" s="1"/>
  <c r="E13" i="74" s="1"/>
  <c r="E14" i="74" s="1"/>
  <c r="E15" i="74" s="1"/>
  <c r="E16" i="74" s="1"/>
  <c r="E17" i="74" s="1"/>
  <c r="E18" i="74" s="1"/>
  <c r="E19" i="74" s="1"/>
  <c r="E20" i="74" s="1"/>
  <c r="E21" i="74" s="1"/>
  <c r="E22" i="74" s="1"/>
  <c r="E23" i="74" s="1"/>
  <c r="E24" i="74" s="1"/>
  <c r="E5" i="73"/>
  <c r="E6" i="73" s="1"/>
  <c r="E7" i="73" s="1"/>
  <c r="E8" i="73" s="1"/>
  <c r="E9" i="73" s="1"/>
  <c r="E10" i="73" s="1"/>
  <c r="E11" i="73" s="1"/>
  <c r="E12" i="73" s="1"/>
  <c r="E13" i="73" s="1"/>
  <c r="E14" i="73" s="1"/>
  <c r="E15" i="73" s="1"/>
  <c r="E16" i="73" s="1"/>
  <c r="E17" i="73" s="1"/>
  <c r="E18" i="73" s="1"/>
  <c r="E19" i="73" s="1"/>
  <c r="E5" i="72"/>
  <c r="E6" i="72" s="1"/>
  <c r="E7" i="72" s="1"/>
  <c r="E8" i="72" s="1"/>
  <c r="E9" i="72" s="1"/>
  <c r="E10" i="72" s="1"/>
  <c r="E11" i="72" s="1"/>
  <c r="E12" i="72" s="1"/>
  <c r="E13" i="72" s="1"/>
  <c r="E14" i="72" s="1"/>
  <c r="E5" i="71"/>
  <c r="E6" i="71" s="1"/>
  <c r="E7" i="71" s="1"/>
  <c r="E8" i="71" s="1"/>
  <c r="E9" i="71" s="1"/>
  <c r="E6" i="67"/>
  <c r="E7" i="67" s="1"/>
  <c r="E8" i="67" s="1"/>
  <c r="E9" i="67" s="1"/>
  <c r="E10" i="67" s="1"/>
  <c r="E11" i="67" s="1"/>
  <c r="E12" i="67" s="1"/>
  <c r="E13" i="67" s="1"/>
  <c r="E14" i="67" s="1"/>
  <c r="E15" i="67" s="1"/>
  <c r="E16" i="67" s="1"/>
  <c r="E17" i="67" s="1"/>
  <c r="E18" i="67" s="1"/>
  <c r="E19" i="67" s="1"/>
  <c r="E20" i="67" s="1"/>
  <c r="E21" i="67" s="1"/>
  <c r="E22" i="67" s="1"/>
  <c r="E23" i="67" s="1"/>
  <c r="E24" i="67" s="1"/>
  <c r="E5" i="67"/>
  <c r="E5" i="66"/>
  <c r="E6" i="66" s="1"/>
  <c r="E7" i="66" s="1"/>
  <c r="E8" i="66" s="1"/>
  <c r="E9" i="66" s="1"/>
  <c r="E10" i="66" s="1"/>
  <c r="E11" i="66" s="1"/>
  <c r="E12" i="66" s="1"/>
  <c r="E13" i="66" s="1"/>
  <c r="E14" i="66" s="1"/>
  <c r="E15" i="66" s="1"/>
  <c r="E16" i="66" s="1"/>
  <c r="E17" i="66" s="1"/>
  <c r="E18" i="66" s="1"/>
  <c r="E19" i="66" s="1"/>
  <c r="E5" i="65"/>
  <c r="E6" i="65" s="1"/>
  <c r="E7" i="65" s="1"/>
  <c r="E8" i="65" s="1"/>
  <c r="E9" i="65" s="1"/>
  <c r="E10" i="65" s="1"/>
  <c r="E11" i="65" s="1"/>
  <c r="E12" i="65" s="1"/>
  <c r="E13" i="65" s="1"/>
  <c r="E14" i="65" s="1"/>
  <c r="E5" i="62"/>
  <c r="E6" i="62" s="1"/>
  <c r="E7" i="62" s="1"/>
  <c r="E8" i="62" s="1"/>
  <c r="E9" i="62" s="1"/>
  <c r="E5" i="64"/>
  <c r="E6" i="64" s="1"/>
  <c r="E7" i="64" s="1"/>
  <c r="E8" i="64" s="1"/>
  <c r="E9" i="64" s="1"/>
  <c r="E10" i="64" s="1"/>
  <c r="E11" i="64" s="1"/>
  <c r="E12" i="64" s="1"/>
  <c r="E13" i="64" s="1"/>
  <c r="E14" i="64" s="1"/>
  <c r="E15" i="64" s="1"/>
  <c r="E16" i="64" s="1"/>
  <c r="E17" i="64" s="1"/>
  <c r="E18" i="64" s="1"/>
  <c r="E19" i="64" s="1"/>
  <c r="E20" i="64" s="1"/>
  <c r="E21" i="64" s="1"/>
  <c r="E22" i="64" s="1"/>
  <c r="E23" i="64" s="1"/>
  <c r="E24" i="64" s="1"/>
  <c r="E5" i="61"/>
  <c r="E6" i="61" s="1"/>
  <c r="E7" i="61" s="1"/>
  <c r="E8" i="61" s="1"/>
  <c r="E9" i="61" s="1"/>
  <c r="E10" i="61" s="1"/>
  <c r="E11" i="61" s="1"/>
  <c r="E12" i="61" s="1"/>
  <c r="E13" i="61" s="1"/>
  <c r="E14" i="61" s="1"/>
  <c r="E15" i="61" s="1"/>
  <c r="E16" i="61" s="1"/>
  <c r="E17" i="61" s="1"/>
  <c r="E18" i="61" s="1"/>
  <c r="E19" i="61" s="1"/>
  <c r="E5" i="60"/>
  <c r="E6" i="60" s="1"/>
  <c r="E7" i="60" s="1"/>
  <c r="E8" i="60" s="1"/>
  <c r="E9" i="60" s="1"/>
  <c r="E10" i="60" s="1"/>
  <c r="E11" i="60" s="1"/>
  <c r="E12" i="60" s="1"/>
  <c r="E13" i="60" s="1"/>
  <c r="E14" i="60" s="1"/>
  <c r="E6" i="59"/>
  <c r="E7" i="59" s="1"/>
  <c r="E8" i="59" s="1"/>
  <c r="E9" i="59" s="1"/>
  <c r="E10" i="59" s="1"/>
  <c r="E11" i="59" s="1"/>
  <c r="E12" i="59" s="1"/>
  <c r="E13" i="59" s="1"/>
  <c r="E14" i="59" s="1"/>
  <c r="E15" i="59" s="1"/>
  <c r="E16" i="59" s="1"/>
  <c r="E17" i="59" s="1"/>
  <c r="E18" i="59" s="1"/>
  <c r="E19" i="59" s="1"/>
  <c r="E5" i="59"/>
  <c r="E6" i="77"/>
  <c r="E7" i="77" s="1"/>
  <c r="E8" i="77" s="1"/>
  <c r="E9" i="77" s="1"/>
  <c r="E10" i="77" s="1"/>
  <c r="E11" i="77" s="1"/>
  <c r="E12" i="77" s="1"/>
  <c r="E13" i="77" s="1"/>
  <c r="E14" i="77" s="1"/>
  <c r="E15" i="77" s="1"/>
  <c r="E16" i="77" s="1"/>
  <c r="E17" i="77" s="1"/>
  <c r="E18" i="77" s="1"/>
  <c r="E19" i="77" s="1"/>
  <c r="E5" i="77"/>
  <c r="E19" i="76"/>
  <c r="E18" i="76"/>
  <c r="E17" i="76"/>
  <c r="E16" i="76"/>
  <c r="E15" i="76"/>
  <c r="E14" i="76"/>
  <c r="E13" i="76"/>
  <c r="E12" i="76"/>
  <c r="E11" i="76"/>
  <c r="E10" i="76"/>
  <c r="E9" i="76"/>
  <c r="E8" i="76"/>
  <c r="E7" i="76"/>
  <c r="E6" i="76"/>
  <c r="E5" i="76"/>
  <c r="E6" i="75" l="1"/>
  <c r="E7" i="75"/>
  <c r="E8" i="75"/>
  <c r="E9" i="75"/>
  <c r="E10" i="75"/>
  <c r="E11" i="75"/>
  <c r="E12" i="75"/>
  <c r="E13" i="75"/>
  <c r="E14" i="75"/>
  <c r="E15" i="75"/>
  <c r="E16" i="75"/>
  <c r="E17" i="75"/>
  <c r="E18" i="75"/>
  <c r="E19" i="75"/>
  <c r="E5" i="75"/>
  <c r="B40" i="84" l="1"/>
  <c r="B39" i="84"/>
  <c r="B38" i="84"/>
  <c r="K2" i="26"/>
  <c r="K2" i="82"/>
  <c r="K2" i="81"/>
  <c r="H8" i="85" l="1"/>
  <c r="H9" i="85"/>
  <c r="H10" i="85"/>
  <c r="H11" i="85"/>
  <c r="H12" i="85"/>
  <c r="H13" i="85"/>
  <c r="H14" i="85"/>
  <c r="H15" i="85"/>
  <c r="H16" i="85"/>
  <c r="H17" i="85"/>
  <c r="H18" i="85"/>
  <c r="H19" i="85"/>
  <c r="H20" i="85"/>
  <c r="H21" i="85"/>
  <c r="H22" i="85"/>
  <c r="H23" i="85"/>
  <c r="H24" i="85"/>
  <c r="H25" i="85"/>
  <c r="H26" i="85"/>
  <c r="H27" i="85"/>
  <c r="H28" i="85"/>
  <c r="H29" i="85"/>
  <c r="H30" i="85"/>
  <c r="H31" i="85"/>
  <c r="H32" i="85"/>
  <c r="H33" i="85"/>
  <c r="H34" i="85"/>
  <c r="H35" i="85"/>
  <c r="H36" i="85"/>
  <c r="H37" i="85"/>
  <c r="H38" i="85"/>
  <c r="H39" i="85"/>
  <c r="H40" i="85"/>
  <c r="H41" i="85"/>
  <c r="H42" i="85"/>
  <c r="H43" i="85"/>
  <c r="H44" i="85"/>
  <c r="H45" i="85"/>
  <c r="H46" i="85"/>
  <c r="H47" i="85"/>
  <c r="H48" i="85"/>
  <c r="H49" i="85"/>
  <c r="H50" i="85"/>
  <c r="H51" i="85"/>
  <c r="H52" i="85"/>
  <c r="H53" i="85"/>
  <c r="H54" i="85"/>
  <c r="H55" i="85"/>
  <c r="H56" i="85"/>
  <c r="H57" i="85"/>
  <c r="H58" i="85"/>
  <c r="H59" i="85"/>
  <c r="H60" i="85"/>
  <c r="H61" i="85"/>
  <c r="H62" i="85"/>
  <c r="H63" i="85"/>
  <c r="H64" i="85"/>
  <c r="H65" i="85"/>
  <c r="H66" i="85"/>
  <c r="H67" i="85"/>
  <c r="H68" i="85"/>
  <c r="H69" i="85"/>
  <c r="H70" i="85"/>
  <c r="H71" i="85"/>
  <c r="H72" i="85"/>
  <c r="H73" i="85"/>
  <c r="H74" i="85"/>
  <c r="H75" i="85"/>
  <c r="H76" i="85"/>
  <c r="H77" i="85"/>
  <c r="H78" i="85"/>
  <c r="H79" i="85"/>
  <c r="H80" i="85"/>
  <c r="H81" i="85"/>
  <c r="H82" i="85"/>
  <c r="H83" i="85"/>
  <c r="H84" i="85"/>
  <c r="H85" i="85"/>
  <c r="H86" i="85"/>
  <c r="H87" i="85"/>
  <c r="H88" i="85"/>
  <c r="H89" i="85"/>
  <c r="H90" i="85"/>
  <c r="H91" i="85"/>
  <c r="H92" i="85"/>
  <c r="H93" i="85"/>
  <c r="H94" i="85"/>
  <c r="H95" i="85"/>
  <c r="H96" i="85"/>
  <c r="H97" i="85"/>
  <c r="H98" i="85"/>
  <c r="H99" i="85"/>
  <c r="H100" i="85"/>
  <c r="H101" i="85"/>
  <c r="H102" i="85"/>
  <c r="H103" i="85"/>
  <c r="H104" i="85"/>
  <c r="H105" i="85"/>
  <c r="H106" i="85"/>
  <c r="H107" i="85"/>
  <c r="H108" i="85"/>
  <c r="H109" i="85"/>
  <c r="H110" i="85"/>
  <c r="H111" i="85"/>
  <c r="H112" i="85"/>
  <c r="H113" i="85"/>
  <c r="H114" i="85"/>
  <c r="H115" i="85"/>
  <c r="H116" i="85"/>
  <c r="H117" i="85"/>
  <c r="H118" i="85"/>
  <c r="H119" i="85"/>
  <c r="H120" i="85"/>
  <c r="H121" i="85"/>
  <c r="H122" i="85"/>
  <c r="H123" i="85"/>
  <c r="H124" i="85"/>
  <c r="H125" i="85"/>
  <c r="H126" i="85"/>
  <c r="H127" i="85"/>
  <c r="H7" i="85"/>
  <c r="W124" i="26" l="1"/>
  <c r="W124" i="82"/>
  <c r="W112" i="26"/>
  <c r="W112" i="82"/>
  <c r="W100" i="26"/>
  <c r="W100" i="82"/>
  <c r="W88" i="26"/>
  <c r="W88" i="82"/>
  <c r="W76" i="81"/>
  <c r="W76" i="26"/>
  <c r="W76" i="82"/>
  <c r="W64" i="26"/>
  <c r="W64" i="82"/>
  <c r="W52" i="26"/>
  <c r="W52" i="82"/>
  <c r="W40" i="26"/>
  <c r="W40" i="82"/>
  <c r="W28" i="26"/>
  <c r="W28" i="82"/>
  <c r="W20" i="81"/>
  <c r="W20" i="26"/>
  <c r="W20" i="82"/>
  <c r="W8" i="26"/>
  <c r="W8" i="82"/>
  <c r="W123" i="26"/>
  <c r="W123" i="82"/>
  <c r="W119" i="26"/>
  <c r="W119" i="82"/>
  <c r="W115" i="26"/>
  <c r="W115" i="82"/>
  <c r="W111" i="26"/>
  <c r="W111" i="82"/>
  <c r="W107" i="26"/>
  <c r="W107" i="82"/>
  <c r="W103" i="26"/>
  <c r="W103" i="82"/>
  <c r="W99" i="26"/>
  <c r="W99" i="82"/>
  <c r="W95" i="26"/>
  <c r="W95" i="82"/>
  <c r="W91" i="26"/>
  <c r="W91" i="82"/>
  <c r="W87" i="26"/>
  <c r="W87" i="82"/>
  <c r="W83" i="26"/>
  <c r="W83" i="82"/>
  <c r="W79" i="26"/>
  <c r="W79" i="82"/>
  <c r="W75" i="26"/>
  <c r="W75" i="82"/>
  <c r="W71" i="26"/>
  <c r="W71" i="82"/>
  <c r="W67" i="26"/>
  <c r="W67" i="82"/>
  <c r="W63" i="26"/>
  <c r="W63" i="82"/>
  <c r="W59" i="26"/>
  <c r="W59" i="82"/>
  <c r="W55" i="26"/>
  <c r="W55" i="82"/>
  <c r="W51" i="26"/>
  <c r="W51" i="82"/>
  <c r="W47" i="26"/>
  <c r="W47" i="82"/>
  <c r="W43" i="26"/>
  <c r="W43" i="82"/>
  <c r="W39" i="26"/>
  <c r="W39" i="82"/>
  <c r="W35" i="26"/>
  <c r="W35" i="82"/>
  <c r="W31" i="26"/>
  <c r="W31" i="82"/>
  <c r="W27" i="26"/>
  <c r="W27" i="82"/>
  <c r="W23" i="26"/>
  <c r="W23" i="82"/>
  <c r="W19" i="26"/>
  <c r="W19" i="82"/>
  <c r="W15" i="26"/>
  <c r="W15" i="82"/>
  <c r="W11" i="26"/>
  <c r="W11" i="82"/>
  <c r="W7" i="26"/>
  <c r="W7" i="82"/>
  <c r="W120" i="81"/>
  <c r="W120" i="26"/>
  <c r="W120" i="82"/>
  <c r="W108" i="81"/>
  <c r="W108" i="26"/>
  <c r="W108" i="82"/>
  <c r="W96" i="81"/>
  <c r="W96" i="26"/>
  <c r="W96" i="82"/>
  <c r="W84" i="81"/>
  <c r="W84" i="26"/>
  <c r="W84" i="82"/>
  <c r="W72" i="81"/>
  <c r="W72" i="26"/>
  <c r="W72" i="82"/>
  <c r="W60" i="26"/>
  <c r="W60" i="82"/>
  <c r="W48" i="26"/>
  <c r="W48" i="82"/>
  <c r="W36" i="26"/>
  <c r="W36" i="82"/>
  <c r="W24" i="26"/>
  <c r="W24" i="82"/>
  <c r="W12" i="26"/>
  <c r="W12" i="82"/>
  <c r="W122" i="26"/>
  <c r="W122" i="82"/>
  <c r="W118" i="26"/>
  <c r="W118" i="82"/>
  <c r="W114" i="26"/>
  <c r="W114" i="82"/>
  <c r="W110" i="26"/>
  <c r="W110" i="82"/>
  <c r="W106" i="26"/>
  <c r="W106" i="82"/>
  <c r="W102" i="26"/>
  <c r="W102" i="82"/>
  <c r="W98" i="26"/>
  <c r="W98" i="82"/>
  <c r="W94" i="26"/>
  <c r="W94" i="82"/>
  <c r="W90" i="26"/>
  <c r="W90" i="82"/>
  <c r="W86" i="26"/>
  <c r="W86" i="82"/>
  <c r="W82" i="26"/>
  <c r="W82" i="82"/>
  <c r="W78" i="26"/>
  <c r="W78" i="82"/>
  <c r="W74" i="81"/>
  <c r="W74" i="26"/>
  <c r="W74" i="82"/>
  <c r="W70" i="26"/>
  <c r="W70" i="82"/>
  <c r="W66" i="26"/>
  <c r="W66" i="82"/>
  <c r="W62" i="26"/>
  <c r="W62" i="82"/>
  <c r="W58" i="26"/>
  <c r="W58" i="82"/>
  <c r="W54" i="26"/>
  <c r="W54" i="82"/>
  <c r="W50" i="26"/>
  <c r="W50" i="82"/>
  <c r="W46" i="26"/>
  <c r="W46" i="82"/>
  <c r="W42" i="81"/>
  <c r="W42" i="26"/>
  <c r="W42" i="82"/>
  <c r="W38" i="26"/>
  <c r="W38" i="82"/>
  <c r="W34" i="26"/>
  <c r="W34" i="82"/>
  <c r="W30" i="26"/>
  <c r="W30" i="82"/>
  <c r="W26" i="26"/>
  <c r="W26" i="82"/>
  <c r="W22" i="26"/>
  <c r="W22" i="82"/>
  <c r="W18" i="26"/>
  <c r="W18" i="82"/>
  <c r="W14" i="26"/>
  <c r="W14" i="82"/>
  <c r="W10" i="81"/>
  <c r="W10" i="26"/>
  <c r="W10" i="82"/>
  <c r="W6" i="26"/>
  <c r="W6" i="82"/>
  <c r="W116" i="26"/>
  <c r="W116" i="82"/>
  <c r="W104" i="26"/>
  <c r="W104" i="82"/>
  <c r="W92" i="26"/>
  <c r="W92" i="82"/>
  <c r="W80" i="26"/>
  <c r="W80" i="82"/>
  <c r="W68" i="26"/>
  <c r="W68" i="82"/>
  <c r="W56" i="81"/>
  <c r="W56" i="26"/>
  <c r="W56" i="82"/>
  <c r="W44" i="81"/>
  <c r="W44" i="26"/>
  <c r="W44" i="82"/>
  <c r="W32" i="81"/>
  <c r="W32" i="26"/>
  <c r="W32" i="82"/>
  <c r="W16" i="26"/>
  <c r="W16" i="82"/>
  <c r="W4" i="82"/>
  <c r="W4" i="26"/>
  <c r="W121" i="82"/>
  <c r="W121" i="26"/>
  <c r="W117" i="82"/>
  <c r="W117" i="26"/>
  <c r="W113" i="82"/>
  <c r="W113" i="26"/>
  <c r="W109" i="82"/>
  <c r="W109" i="26"/>
  <c r="W105" i="82"/>
  <c r="W105" i="26"/>
  <c r="W101" i="82"/>
  <c r="W101" i="26"/>
  <c r="W97" i="82"/>
  <c r="W97" i="26"/>
  <c r="W93" i="82"/>
  <c r="W93" i="26"/>
  <c r="W89" i="82"/>
  <c r="W89" i="26"/>
  <c r="W85" i="82"/>
  <c r="W85" i="26"/>
  <c r="W81" i="82"/>
  <c r="W81" i="26"/>
  <c r="W77" i="82"/>
  <c r="W77" i="26"/>
  <c r="W73" i="82"/>
  <c r="W73" i="26"/>
  <c r="W69" i="82"/>
  <c r="W69" i="26"/>
  <c r="W65" i="82"/>
  <c r="W65" i="26"/>
  <c r="W61" i="82"/>
  <c r="W61" i="26"/>
  <c r="W57" i="82"/>
  <c r="W57" i="26"/>
  <c r="W53" i="82"/>
  <c r="W53" i="26"/>
  <c r="W49" i="82"/>
  <c r="W49" i="26"/>
  <c r="W45" i="82"/>
  <c r="W45" i="26"/>
  <c r="W41" i="82"/>
  <c r="W41" i="26"/>
  <c r="W37" i="82"/>
  <c r="W37" i="26"/>
  <c r="W33" i="82"/>
  <c r="W33" i="26"/>
  <c r="W29" i="82"/>
  <c r="W29" i="26"/>
  <c r="W25" i="82"/>
  <c r="W25" i="26"/>
  <c r="W21" i="82"/>
  <c r="W21" i="26"/>
  <c r="W17" i="82"/>
  <c r="W17" i="26"/>
  <c r="W13" i="82"/>
  <c r="W13" i="26"/>
  <c r="W9" i="82"/>
  <c r="W9" i="26"/>
  <c r="W5" i="82"/>
  <c r="W5" i="26"/>
  <c r="R123" i="77"/>
  <c r="W123" i="81"/>
  <c r="R115" i="34"/>
  <c r="W115" i="81"/>
  <c r="R107" i="75"/>
  <c r="W107" i="81"/>
  <c r="R99" i="34"/>
  <c r="W99" i="81"/>
  <c r="R91" i="75"/>
  <c r="W91" i="81"/>
  <c r="R83" i="34"/>
  <c r="W83" i="81"/>
  <c r="R75" i="75"/>
  <c r="W75" i="81"/>
  <c r="R67" i="34"/>
  <c r="W67" i="81"/>
  <c r="R59" i="77"/>
  <c r="W59" i="81"/>
  <c r="R51" i="34"/>
  <c r="W51" i="81"/>
  <c r="R43" i="75"/>
  <c r="W43" i="81"/>
  <c r="R35" i="34"/>
  <c r="W35" i="81"/>
  <c r="R27" i="77"/>
  <c r="W27" i="81"/>
  <c r="R19" i="34"/>
  <c r="W19" i="81"/>
  <c r="R15" i="34"/>
  <c r="W15" i="81"/>
  <c r="R11" i="75"/>
  <c r="W11" i="81"/>
  <c r="R122" i="76"/>
  <c r="W122" i="81"/>
  <c r="R114" i="31"/>
  <c r="W114" i="81"/>
  <c r="R106" i="60"/>
  <c r="W106" i="81"/>
  <c r="R102" i="76"/>
  <c r="W102" i="81"/>
  <c r="R94" i="31"/>
  <c r="W94" i="81"/>
  <c r="R86" i="31"/>
  <c r="W86" i="81"/>
  <c r="R78" i="31"/>
  <c r="W78" i="81"/>
  <c r="R70" i="29"/>
  <c r="W70" i="81"/>
  <c r="R62" i="31"/>
  <c r="W62" i="81"/>
  <c r="R54" i="29"/>
  <c r="W54" i="81"/>
  <c r="R34" i="31"/>
  <c r="W34" i="81"/>
  <c r="R22" i="34"/>
  <c r="W22" i="81"/>
  <c r="R124" i="34"/>
  <c r="W124" i="81"/>
  <c r="R116" i="34"/>
  <c r="W116" i="81"/>
  <c r="R112" i="34"/>
  <c r="W112" i="81"/>
  <c r="R104" i="75"/>
  <c r="W104" i="81"/>
  <c r="R100" i="75"/>
  <c r="W100" i="81"/>
  <c r="R92" i="31"/>
  <c r="W92" i="81"/>
  <c r="R88" i="31"/>
  <c r="W88" i="81"/>
  <c r="R80" i="34"/>
  <c r="W80" i="81"/>
  <c r="R68" i="64"/>
  <c r="W68" i="81"/>
  <c r="R64" i="34"/>
  <c r="W64" i="81"/>
  <c r="R60" i="31"/>
  <c r="W60" i="81"/>
  <c r="R52" i="75"/>
  <c r="W52" i="81"/>
  <c r="R48" i="77"/>
  <c r="W48" i="81"/>
  <c r="R40" i="59"/>
  <c r="W40" i="81"/>
  <c r="R36" i="34"/>
  <c r="W36" i="81"/>
  <c r="R28" i="34"/>
  <c r="W28" i="81"/>
  <c r="R24" i="75"/>
  <c r="W24" i="81"/>
  <c r="R16" i="34"/>
  <c r="W16" i="81"/>
  <c r="R12" i="31"/>
  <c r="W12" i="81"/>
  <c r="R8" i="59"/>
  <c r="W8" i="81"/>
  <c r="R119" i="34"/>
  <c r="W119" i="81"/>
  <c r="R111" i="34"/>
  <c r="W111" i="81"/>
  <c r="R103" i="76"/>
  <c r="W103" i="81"/>
  <c r="R95" i="60"/>
  <c r="W95" i="81"/>
  <c r="R87" i="75"/>
  <c r="W87" i="81"/>
  <c r="R79" i="34"/>
  <c r="W79" i="81"/>
  <c r="R71" i="33"/>
  <c r="W71" i="81"/>
  <c r="R63" i="34"/>
  <c r="W63" i="81"/>
  <c r="R55" i="75"/>
  <c r="W55" i="81"/>
  <c r="R47" i="34"/>
  <c r="W47" i="81"/>
  <c r="R39" i="75"/>
  <c r="W39" i="81"/>
  <c r="R31" i="32"/>
  <c r="W31" i="81"/>
  <c r="R23" i="75"/>
  <c r="W23" i="81"/>
  <c r="R7" i="34"/>
  <c r="W7" i="81"/>
  <c r="R118" i="29"/>
  <c r="W118" i="81"/>
  <c r="R110" i="31"/>
  <c r="W110" i="81"/>
  <c r="R98" i="59"/>
  <c r="W98" i="81"/>
  <c r="R90" i="60"/>
  <c r="W90" i="81"/>
  <c r="R82" i="59"/>
  <c r="W82" i="81"/>
  <c r="R66" i="31"/>
  <c r="W66" i="81"/>
  <c r="R58" i="60"/>
  <c r="W58" i="81"/>
  <c r="R50" i="31"/>
  <c r="W50" i="81"/>
  <c r="R46" i="31"/>
  <c r="W46" i="81"/>
  <c r="R38" i="34"/>
  <c r="W38" i="81"/>
  <c r="R30" i="31"/>
  <c r="W30" i="81"/>
  <c r="R26" i="60"/>
  <c r="W26" i="81"/>
  <c r="R18" i="59"/>
  <c r="W18" i="81"/>
  <c r="R14" i="64"/>
  <c r="W14" i="81"/>
  <c r="R6" i="34"/>
  <c r="W6" i="81"/>
  <c r="R4" i="75"/>
  <c r="W4" i="81"/>
  <c r="R121" i="65"/>
  <c r="W121" i="81"/>
  <c r="R117" i="76"/>
  <c r="W117" i="81"/>
  <c r="R113" i="33"/>
  <c r="W113" i="81"/>
  <c r="R109" i="75"/>
  <c r="W109" i="81"/>
  <c r="R105" i="32"/>
  <c r="W105" i="81"/>
  <c r="R101" i="76"/>
  <c r="W101" i="81"/>
  <c r="R97" i="31"/>
  <c r="W97" i="81"/>
  <c r="R93" i="76"/>
  <c r="W93" i="81"/>
  <c r="R89" i="32"/>
  <c r="W89" i="81"/>
  <c r="R85" i="76"/>
  <c r="W85" i="81"/>
  <c r="R81" i="31"/>
  <c r="W81" i="81"/>
  <c r="R77" i="59"/>
  <c r="W77" i="81"/>
  <c r="R73" i="75"/>
  <c r="W73" i="81"/>
  <c r="R69" i="76"/>
  <c r="W69" i="81"/>
  <c r="R65" i="31"/>
  <c r="W65" i="81"/>
  <c r="R61" i="76"/>
  <c r="W61" i="81"/>
  <c r="R57" i="75"/>
  <c r="W57" i="81"/>
  <c r="R53" i="76"/>
  <c r="W53" i="81"/>
  <c r="R49" i="29"/>
  <c r="W49" i="81"/>
  <c r="R45" i="76"/>
  <c r="W45" i="81"/>
  <c r="R41" i="32"/>
  <c r="W41" i="81"/>
  <c r="R37" i="76"/>
  <c r="W37" i="81"/>
  <c r="R33" i="31"/>
  <c r="W33" i="81"/>
  <c r="R29" i="76"/>
  <c r="W29" i="81"/>
  <c r="R25" i="32"/>
  <c r="W25" i="81"/>
  <c r="R21" i="76"/>
  <c r="W21" i="81"/>
  <c r="R17" i="31"/>
  <c r="W17" i="81"/>
  <c r="R13" i="59"/>
  <c r="W13" i="81"/>
  <c r="R9" i="75"/>
  <c r="W9" i="81"/>
  <c r="R5" i="76"/>
  <c r="W5" i="81"/>
  <c r="R87" i="34"/>
  <c r="R23" i="34"/>
  <c r="R69" i="75"/>
  <c r="R21" i="75"/>
  <c r="R8" i="31"/>
  <c r="R23" i="28"/>
  <c r="R71" i="34"/>
  <c r="R123" i="75"/>
  <c r="R53" i="75"/>
  <c r="R81" i="76"/>
  <c r="R95" i="32"/>
  <c r="R55" i="34"/>
  <c r="R101" i="75"/>
  <c r="R37" i="75"/>
  <c r="R7" i="75"/>
  <c r="R49" i="76"/>
  <c r="R123" i="29"/>
  <c r="R39" i="34"/>
  <c r="R85" i="75"/>
  <c r="R27" i="75"/>
  <c r="R89" i="31"/>
  <c r="R17" i="76"/>
  <c r="R107" i="61"/>
  <c r="R82" i="34"/>
  <c r="R18" i="34"/>
  <c r="R95" i="34"/>
  <c r="R31" i="34"/>
  <c r="R117" i="75"/>
  <c r="R99" i="75"/>
  <c r="R83" i="75"/>
  <c r="R67" i="75"/>
  <c r="R51" i="75"/>
  <c r="R35" i="75"/>
  <c r="R19" i="75"/>
  <c r="R5" i="75"/>
  <c r="R73" i="31"/>
  <c r="R25" i="31"/>
  <c r="R119" i="76"/>
  <c r="R73" i="76"/>
  <c r="R41" i="76"/>
  <c r="R59" i="29"/>
  <c r="R43" i="61"/>
  <c r="R114" i="34"/>
  <c r="R50" i="34"/>
  <c r="R103" i="34"/>
  <c r="R8" i="34"/>
  <c r="R115" i="75"/>
  <c r="R59" i="75"/>
  <c r="R121" i="31"/>
  <c r="R57" i="31"/>
  <c r="R14" i="31"/>
  <c r="R65" i="76"/>
  <c r="R33" i="76"/>
  <c r="R87" i="28"/>
  <c r="R9" i="32"/>
  <c r="R17" i="29"/>
  <c r="R35" i="64"/>
  <c r="R98" i="34"/>
  <c r="R66" i="34"/>
  <c r="R34" i="34"/>
  <c r="R71" i="75"/>
  <c r="R8" i="75"/>
  <c r="R105" i="31"/>
  <c r="R41" i="31"/>
  <c r="R9" i="31"/>
  <c r="R89" i="76"/>
  <c r="R57" i="76"/>
  <c r="R25" i="76"/>
  <c r="R45" i="28"/>
  <c r="R120" i="69"/>
  <c r="R120" i="68"/>
  <c r="R120" i="70"/>
  <c r="R120" i="35"/>
  <c r="R120" i="73"/>
  <c r="R120" i="63"/>
  <c r="R120" i="74"/>
  <c r="R120" i="71"/>
  <c r="R120" i="72"/>
  <c r="R120" i="67"/>
  <c r="R120" i="65"/>
  <c r="R120" i="30"/>
  <c r="R120" i="33"/>
  <c r="R120" i="61"/>
  <c r="R120" i="66"/>
  <c r="R120" i="62"/>
  <c r="R120" i="29"/>
  <c r="R120" i="64"/>
  <c r="R120" i="77"/>
  <c r="R120" i="28"/>
  <c r="R120" i="60"/>
  <c r="R120" i="32"/>
  <c r="R120" i="76"/>
  <c r="R108" i="69"/>
  <c r="R108" i="68"/>
  <c r="R108" i="35"/>
  <c r="R108" i="63"/>
  <c r="R108" i="70"/>
  <c r="R108" i="74"/>
  <c r="R108" i="72"/>
  <c r="R108" i="73"/>
  <c r="R108" i="71"/>
  <c r="R108" i="67"/>
  <c r="R108" i="65"/>
  <c r="R108" i="62"/>
  <c r="R108" i="61"/>
  <c r="R108" i="30"/>
  <c r="R108" i="29"/>
  <c r="R108" i="28"/>
  <c r="R108" i="77"/>
  <c r="R108" i="66"/>
  <c r="R108" i="64"/>
  <c r="R108" i="60"/>
  <c r="R108" i="32"/>
  <c r="R108" i="33"/>
  <c r="R108" i="59"/>
  <c r="R108" i="76"/>
  <c r="R96" i="69"/>
  <c r="R96" i="70"/>
  <c r="R96" i="68"/>
  <c r="R96" i="35"/>
  <c r="R96" i="71"/>
  <c r="R96" i="74"/>
  <c r="R96" i="72"/>
  <c r="R96" i="73"/>
  <c r="R96" i="63"/>
  <c r="R96" i="67"/>
  <c r="R96" i="66"/>
  <c r="R96" i="65"/>
  <c r="R96" i="61"/>
  <c r="R96" i="30"/>
  <c r="R96" i="33"/>
  <c r="R96" i="29"/>
  <c r="R96" i="28"/>
  <c r="R96" i="60"/>
  <c r="R96" i="32"/>
  <c r="R96" i="62"/>
  <c r="R96" i="59"/>
  <c r="R96" i="64"/>
  <c r="R96" i="76"/>
  <c r="R84" i="69"/>
  <c r="R84" i="35"/>
  <c r="R84" i="70"/>
  <c r="R84" i="63"/>
  <c r="R84" i="72"/>
  <c r="R84" i="73"/>
  <c r="R84" i="74"/>
  <c r="R84" i="68"/>
  <c r="R84" i="71"/>
  <c r="R84" i="67"/>
  <c r="R84" i="66"/>
  <c r="R84" i="65"/>
  <c r="R84" i="61"/>
  <c r="R84" i="33"/>
  <c r="R84" i="62"/>
  <c r="R84" i="29"/>
  <c r="R84" i="28"/>
  <c r="R84" i="30"/>
  <c r="R84" i="60"/>
  <c r="R84" i="59"/>
  <c r="R84" i="77"/>
  <c r="R84" i="76"/>
  <c r="R72" i="69"/>
  <c r="R72" i="70"/>
  <c r="R72" i="68"/>
  <c r="R72" i="35"/>
  <c r="R72" i="63"/>
  <c r="R72" i="73"/>
  <c r="R72" i="71"/>
  <c r="R72" i="74"/>
  <c r="R72" i="72"/>
  <c r="R72" i="67"/>
  <c r="R72" i="66"/>
  <c r="R72" i="65"/>
  <c r="R72" i="30"/>
  <c r="R72" i="33"/>
  <c r="R72" i="61"/>
  <c r="R72" i="62"/>
  <c r="R72" i="29"/>
  <c r="R72" i="28"/>
  <c r="R72" i="64"/>
  <c r="R72" i="77"/>
  <c r="R72" i="60"/>
  <c r="R72" i="32"/>
  <c r="R72" i="76"/>
  <c r="R56" i="69"/>
  <c r="R56" i="70"/>
  <c r="R56" i="68"/>
  <c r="R56" i="35"/>
  <c r="R56" i="73"/>
  <c r="R56" i="63"/>
  <c r="R56" i="74"/>
  <c r="R56" i="71"/>
  <c r="R56" i="72"/>
  <c r="R56" i="67"/>
  <c r="R56" i="66"/>
  <c r="R56" i="65"/>
  <c r="R56" i="30"/>
  <c r="R56" i="33"/>
  <c r="R56" i="61"/>
  <c r="R56" i="62"/>
  <c r="R56" i="29"/>
  <c r="R56" i="28"/>
  <c r="R56" i="64"/>
  <c r="R56" i="77"/>
  <c r="R56" i="60"/>
  <c r="R56" i="32"/>
  <c r="R56" i="76"/>
  <c r="R44" i="69"/>
  <c r="R44" i="70"/>
  <c r="R44" i="35"/>
  <c r="R44" i="68"/>
  <c r="R44" i="63"/>
  <c r="R44" i="74"/>
  <c r="R44" i="71"/>
  <c r="R44" i="72"/>
  <c r="R44" i="73"/>
  <c r="R44" i="67"/>
  <c r="R44" i="66"/>
  <c r="R44" i="65"/>
  <c r="R44" i="62"/>
  <c r="R44" i="61"/>
  <c r="R44" i="30"/>
  <c r="R44" i="29"/>
  <c r="R44" i="28"/>
  <c r="R44" i="60"/>
  <c r="R44" i="77"/>
  <c r="R44" i="64"/>
  <c r="R44" i="32"/>
  <c r="R44" i="33"/>
  <c r="R44" i="59"/>
  <c r="R44" i="76"/>
  <c r="R32" i="69"/>
  <c r="R32" i="70"/>
  <c r="R32" i="68"/>
  <c r="R32" i="35"/>
  <c r="R32" i="71"/>
  <c r="R32" i="74"/>
  <c r="R32" i="73"/>
  <c r="R32" i="63"/>
  <c r="R32" i="72"/>
  <c r="R32" i="67"/>
  <c r="R32" i="66"/>
  <c r="R32" i="65"/>
  <c r="R32" i="61"/>
  <c r="R32" i="64"/>
  <c r="R32" i="30"/>
  <c r="R32" i="33"/>
  <c r="R32" i="29"/>
  <c r="R32" i="28"/>
  <c r="R32" i="32"/>
  <c r="R32" i="62"/>
  <c r="R32" i="59"/>
  <c r="R32" i="60"/>
  <c r="R32" i="76"/>
  <c r="R20" i="69"/>
  <c r="R20" i="68"/>
  <c r="R20" i="35"/>
  <c r="R20" i="70"/>
  <c r="R20" i="74"/>
  <c r="R20" i="63"/>
  <c r="R20" i="72"/>
  <c r="R20" i="73"/>
  <c r="R20" i="71"/>
  <c r="R20" i="67"/>
  <c r="R20" i="66"/>
  <c r="R20" i="65"/>
  <c r="R20" i="64"/>
  <c r="R20" i="61"/>
  <c r="R20" i="33"/>
  <c r="R20" i="62"/>
  <c r="R20" i="29"/>
  <c r="R20" i="28"/>
  <c r="R20" i="30"/>
  <c r="R20" i="60"/>
  <c r="R20" i="59"/>
  <c r="R20" i="77"/>
  <c r="R20" i="76"/>
  <c r="R108" i="34"/>
  <c r="R92" i="34"/>
  <c r="R44" i="34"/>
  <c r="R12" i="34"/>
  <c r="R96" i="75"/>
  <c r="R80" i="75"/>
  <c r="R64" i="75"/>
  <c r="R48" i="75"/>
  <c r="R32" i="75"/>
  <c r="R16" i="75"/>
  <c r="R116" i="31"/>
  <c r="R100" i="31"/>
  <c r="R84" i="31"/>
  <c r="R68" i="31"/>
  <c r="R52" i="31"/>
  <c r="R36" i="31"/>
  <c r="R20" i="31"/>
  <c r="R4" i="76"/>
  <c r="R114" i="76"/>
  <c r="R109" i="76"/>
  <c r="R97" i="76"/>
  <c r="R109" i="28"/>
  <c r="R66" i="28"/>
  <c r="R102" i="77"/>
  <c r="R80" i="77"/>
  <c r="R38" i="77"/>
  <c r="R16" i="77"/>
  <c r="R116" i="32"/>
  <c r="R73" i="32"/>
  <c r="R52" i="32"/>
  <c r="R109" i="59"/>
  <c r="R88" i="59"/>
  <c r="R66" i="59"/>
  <c r="R45" i="59"/>
  <c r="R24" i="59"/>
  <c r="R102" i="29"/>
  <c r="R81" i="29"/>
  <c r="R38" i="29"/>
  <c r="R116" i="60"/>
  <c r="R66" i="60"/>
  <c r="R34" i="60"/>
  <c r="R100" i="64"/>
  <c r="R106" i="62"/>
  <c r="R21" i="62"/>
  <c r="R57" i="65"/>
  <c r="R18" i="66"/>
  <c r="R123" i="70"/>
  <c r="R123" i="63"/>
  <c r="R123" i="74"/>
  <c r="R123" i="69"/>
  <c r="R123" i="68"/>
  <c r="R123" i="73"/>
  <c r="R123" i="71"/>
  <c r="R123" i="72"/>
  <c r="R123" i="35"/>
  <c r="R123" i="66"/>
  <c r="R123" i="30"/>
  <c r="R123" i="62"/>
  <c r="R123" i="65"/>
  <c r="R123" i="33"/>
  <c r="R123" i="64"/>
  <c r="R123" i="59"/>
  <c r="R123" i="60"/>
  <c r="R123" i="32"/>
  <c r="R123" i="28"/>
  <c r="R123" i="67"/>
  <c r="R123" i="31"/>
  <c r="R119" i="70"/>
  <c r="R119" i="63"/>
  <c r="R119" i="74"/>
  <c r="R119" i="35"/>
  <c r="R119" i="68"/>
  <c r="R119" i="73"/>
  <c r="R119" i="69"/>
  <c r="R119" i="72"/>
  <c r="R119" i="71"/>
  <c r="R119" i="66"/>
  <c r="R119" i="30"/>
  <c r="R119" i="62"/>
  <c r="R119" i="67"/>
  <c r="R119" i="65"/>
  <c r="R119" i="64"/>
  <c r="R119" i="59"/>
  <c r="R119" i="33"/>
  <c r="R119" i="29"/>
  <c r="R119" i="77"/>
  <c r="R119" i="28"/>
  <c r="R119" i="60"/>
  <c r="R119" i="32"/>
  <c r="R119" i="61"/>
  <c r="R119" i="31"/>
  <c r="R115" i="70"/>
  <c r="R115" i="63"/>
  <c r="R115" i="74"/>
  <c r="R115" i="68"/>
  <c r="R115" i="69"/>
  <c r="R115" i="73"/>
  <c r="R115" i="35"/>
  <c r="R115" i="71"/>
  <c r="R115" i="72"/>
  <c r="R115" i="66"/>
  <c r="R115" i="30"/>
  <c r="R115" i="62"/>
  <c r="R115" i="33"/>
  <c r="R115" i="67"/>
  <c r="R115" i="64"/>
  <c r="R115" i="59"/>
  <c r="R115" i="28"/>
  <c r="R115" i="61"/>
  <c r="R115" i="29"/>
  <c r="R115" i="77"/>
  <c r="R115" i="65"/>
  <c r="R115" i="60"/>
  <c r="R115" i="32"/>
  <c r="R115" i="31"/>
  <c r="R111" i="70"/>
  <c r="R111" i="63"/>
  <c r="R111" i="74"/>
  <c r="R111" i="69"/>
  <c r="R111" i="68"/>
  <c r="R111" i="35"/>
  <c r="R111" i="73"/>
  <c r="R111" i="72"/>
  <c r="R111" i="71"/>
  <c r="R111" i="66"/>
  <c r="R111" i="30"/>
  <c r="R111" i="62"/>
  <c r="R111" i="67"/>
  <c r="R111" i="65"/>
  <c r="R111" i="33"/>
  <c r="R111" i="64"/>
  <c r="R111" i="59"/>
  <c r="R111" i="61"/>
  <c r="R111" i="28"/>
  <c r="R111" i="29"/>
  <c r="R111" i="77"/>
  <c r="R111" i="31"/>
  <c r="R107" i="70"/>
  <c r="R107" i="63"/>
  <c r="R107" i="74"/>
  <c r="R107" i="69"/>
  <c r="R107" i="68"/>
  <c r="R107" i="73"/>
  <c r="R107" i="71"/>
  <c r="R107" i="35"/>
  <c r="R107" i="72"/>
  <c r="R107" i="66"/>
  <c r="R107" i="30"/>
  <c r="R107" i="62"/>
  <c r="R107" i="65"/>
  <c r="R107" i="33"/>
  <c r="R107" i="64"/>
  <c r="R107" i="59"/>
  <c r="R107" i="60"/>
  <c r="R107" i="32"/>
  <c r="R107" i="67"/>
  <c r="R107" i="28"/>
  <c r="R107" i="31"/>
  <c r="R103" i="70"/>
  <c r="R103" i="63"/>
  <c r="R103" i="74"/>
  <c r="R103" i="35"/>
  <c r="R103" i="68"/>
  <c r="R103" i="73"/>
  <c r="R103" i="71"/>
  <c r="R103" i="72"/>
  <c r="R103" i="69"/>
  <c r="R103" i="66"/>
  <c r="R103" i="30"/>
  <c r="R103" i="62"/>
  <c r="R103" i="67"/>
  <c r="R103" i="65"/>
  <c r="R103" i="64"/>
  <c r="R103" i="59"/>
  <c r="R103" i="29"/>
  <c r="R103" i="77"/>
  <c r="R103" i="33"/>
  <c r="R103" i="60"/>
  <c r="R103" i="32"/>
  <c r="R103" i="61"/>
  <c r="R103" i="31"/>
  <c r="R99" i="70"/>
  <c r="R99" i="68"/>
  <c r="R99" i="63"/>
  <c r="R99" i="74"/>
  <c r="R99" i="35"/>
  <c r="R99" i="69"/>
  <c r="R99" i="73"/>
  <c r="R99" i="71"/>
  <c r="R99" i="72"/>
  <c r="R99" i="66"/>
  <c r="R99" i="30"/>
  <c r="R99" i="62"/>
  <c r="R99" i="33"/>
  <c r="R99" i="67"/>
  <c r="R99" i="64"/>
  <c r="R99" i="59"/>
  <c r="R99" i="28"/>
  <c r="R99" i="61"/>
  <c r="R99" i="29"/>
  <c r="R99" i="77"/>
  <c r="R99" i="60"/>
  <c r="R99" i="32"/>
  <c r="R99" i="31"/>
  <c r="R95" i="70"/>
  <c r="R95" i="63"/>
  <c r="R95" i="74"/>
  <c r="R95" i="69"/>
  <c r="R95" i="35"/>
  <c r="R95" i="73"/>
  <c r="R95" i="68"/>
  <c r="R95" i="72"/>
  <c r="R95" i="71"/>
  <c r="R95" i="66"/>
  <c r="R95" i="30"/>
  <c r="R95" i="62"/>
  <c r="R95" i="67"/>
  <c r="R95" i="65"/>
  <c r="R95" i="33"/>
  <c r="R95" i="64"/>
  <c r="R95" i="59"/>
  <c r="R95" i="61"/>
  <c r="R95" i="28"/>
  <c r="R95" i="29"/>
  <c r="R95" i="77"/>
  <c r="R95" i="31"/>
  <c r="R91" i="70"/>
  <c r="R91" i="63"/>
  <c r="R91" i="68"/>
  <c r="R91" i="74"/>
  <c r="R91" i="69"/>
  <c r="R91" i="73"/>
  <c r="R91" i="71"/>
  <c r="R91" i="35"/>
  <c r="R91" i="72"/>
  <c r="R91" i="66"/>
  <c r="R91" i="30"/>
  <c r="R91" i="62"/>
  <c r="R91" i="65"/>
  <c r="R91" i="33"/>
  <c r="R91" i="64"/>
  <c r="R91" i="59"/>
  <c r="R91" i="67"/>
  <c r="R91" i="60"/>
  <c r="R91" i="32"/>
  <c r="R91" i="28"/>
  <c r="R91" i="31"/>
  <c r="R87" i="70"/>
  <c r="R87" i="63"/>
  <c r="R87" i="74"/>
  <c r="R87" i="68"/>
  <c r="R87" i="35"/>
  <c r="R87" i="73"/>
  <c r="R87" i="71"/>
  <c r="R87" i="69"/>
  <c r="R87" i="72"/>
  <c r="R87" i="66"/>
  <c r="R87" i="30"/>
  <c r="R87" i="62"/>
  <c r="R87" i="60"/>
  <c r="R87" i="67"/>
  <c r="R87" i="65"/>
  <c r="R87" i="64"/>
  <c r="R87" i="59"/>
  <c r="R87" i="29"/>
  <c r="R87" i="77"/>
  <c r="R87" i="32"/>
  <c r="R87" i="33"/>
  <c r="R87" i="61"/>
  <c r="R87" i="31"/>
  <c r="R83" i="70"/>
  <c r="R83" i="68"/>
  <c r="R83" i="63"/>
  <c r="R83" i="74"/>
  <c r="R83" i="35"/>
  <c r="R83" i="69"/>
  <c r="R83" i="73"/>
  <c r="R83" i="71"/>
  <c r="R83" i="72"/>
  <c r="R83" i="66"/>
  <c r="R83" i="30"/>
  <c r="R83" i="62"/>
  <c r="R83" i="33"/>
  <c r="R83" i="60"/>
  <c r="R83" i="67"/>
  <c r="R83" i="64"/>
  <c r="R83" i="59"/>
  <c r="R83" i="65"/>
  <c r="R83" i="28"/>
  <c r="R83" i="61"/>
  <c r="R83" i="29"/>
  <c r="R83" i="77"/>
  <c r="R83" i="32"/>
  <c r="R83" i="31"/>
  <c r="R79" i="70"/>
  <c r="R79" i="63"/>
  <c r="R79" i="69"/>
  <c r="R79" i="74"/>
  <c r="R79" i="68"/>
  <c r="R79" i="35"/>
  <c r="R79" i="73"/>
  <c r="R79" i="72"/>
  <c r="R79" i="71"/>
  <c r="R79" i="66"/>
  <c r="R79" i="30"/>
  <c r="R79" i="62"/>
  <c r="R79" i="67"/>
  <c r="R79" i="65"/>
  <c r="R79" i="60"/>
  <c r="R79" i="33"/>
  <c r="R79" i="64"/>
  <c r="R79" i="59"/>
  <c r="R79" i="61"/>
  <c r="R79" i="28"/>
  <c r="R79" i="29"/>
  <c r="R79" i="77"/>
  <c r="R79" i="31"/>
  <c r="R75" i="70"/>
  <c r="R75" i="63"/>
  <c r="R75" i="68"/>
  <c r="R75" i="74"/>
  <c r="R75" i="69"/>
  <c r="R75" i="73"/>
  <c r="R75" i="71"/>
  <c r="R75" i="35"/>
  <c r="R75" i="72"/>
  <c r="R75" i="66"/>
  <c r="R75" i="30"/>
  <c r="R75" i="62"/>
  <c r="R75" i="60"/>
  <c r="R75" i="65"/>
  <c r="R75" i="33"/>
  <c r="R75" i="64"/>
  <c r="R75" i="59"/>
  <c r="R75" i="32"/>
  <c r="R75" i="28"/>
  <c r="R75" i="31"/>
  <c r="R71" i="70"/>
  <c r="R71" i="63"/>
  <c r="R71" i="69"/>
  <c r="R71" i="74"/>
  <c r="R71" i="35"/>
  <c r="R71" i="68"/>
  <c r="R71" i="73"/>
  <c r="R71" i="72"/>
  <c r="R71" i="71"/>
  <c r="R71" i="66"/>
  <c r="R71" i="30"/>
  <c r="R71" i="62"/>
  <c r="R71" i="60"/>
  <c r="R71" i="67"/>
  <c r="R71" i="65"/>
  <c r="R71" i="64"/>
  <c r="R71" i="59"/>
  <c r="R71" i="29"/>
  <c r="R71" i="77"/>
  <c r="R71" i="32"/>
  <c r="R71" i="61"/>
  <c r="R71" i="31"/>
  <c r="R67" i="70"/>
  <c r="R67" i="68"/>
  <c r="R67" i="63"/>
  <c r="R67" i="74"/>
  <c r="R67" i="69"/>
  <c r="R67" i="35"/>
  <c r="R67" i="73"/>
  <c r="R67" i="71"/>
  <c r="R67" i="72"/>
  <c r="R67" i="66"/>
  <c r="R67" i="30"/>
  <c r="R67" i="62"/>
  <c r="R67" i="33"/>
  <c r="R67" i="60"/>
  <c r="R67" i="67"/>
  <c r="R67" i="64"/>
  <c r="R67" i="59"/>
  <c r="R67" i="28"/>
  <c r="R67" i="65"/>
  <c r="R67" i="61"/>
  <c r="R67" i="29"/>
  <c r="R67" i="77"/>
  <c r="R67" i="32"/>
  <c r="R67" i="31"/>
  <c r="R63" i="70"/>
  <c r="R63" i="63"/>
  <c r="R63" i="69"/>
  <c r="R63" i="74"/>
  <c r="R63" i="35"/>
  <c r="R63" i="73"/>
  <c r="R63" i="72"/>
  <c r="R63" i="68"/>
  <c r="R63" i="71"/>
  <c r="R63" i="66"/>
  <c r="R63" i="30"/>
  <c r="R63" i="62"/>
  <c r="R63" i="67"/>
  <c r="R63" i="65"/>
  <c r="R63" i="60"/>
  <c r="R63" i="33"/>
  <c r="R63" i="64"/>
  <c r="R63" i="59"/>
  <c r="R63" i="61"/>
  <c r="R63" i="28"/>
  <c r="R63" i="29"/>
  <c r="R63" i="77"/>
  <c r="R63" i="31"/>
  <c r="R59" i="70"/>
  <c r="R59" i="63"/>
  <c r="R59" i="68"/>
  <c r="R59" i="74"/>
  <c r="R59" i="73"/>
  <c r="R59" i="71"/>
  <c r="R59" i="72"/>
  <c r="R59" i="69"/>
  <c r="R59" i="35"/>
  <c r="R59" i="66"/>
  <c r="R59" i="30"/>
  <c r="R59" i="62"/>
  <c r="R59" i="60"/>
  <c r="R59" i="65"/>
  <c r="R59" i="33"/>
  <c r="R59" i="64"/>
  <c r="R59" i="59"/>
  <c r="R59" i="32"/>
  <c r="R59" i="67"/>
  <c r="R59" i="28"/>
  <c r="R59" i="31"/>
  <c r="R55" i="70"/>
  <c r="R55" i="63"/>
  <c r="R55" i="69"/>
  <c r="R55" i="74"/>
  <c r="R55" i="68"/>
  <c r="R55" i="35"/>
  <c r="R55" i="73"/>
  <c r="R55" i="71"/>
  <c r="R55" i="72"/>
  <c r="R55" i="66"/>
  <c r="R55" i="30"/>
  <c r="R55" i="62"/>
  <c r="R55" i="60"/>
  <c r="R55" i="67"/>
  <c r="R55" i="65"/>
  <c r="R55" i="64"/>
  <c r="R55" i="59"/>
  <c r="R55" i="33"/>
  <c r="R55" i="29"/>
  <c r="R55" i="77"/>
  <c r="R55" i="32"/>
  <c r="R55" i="61"/>
  <c r="R55" i="31"/>
  <c r="R51" i="70"/>
  <c r="R51" i="68"/>
  <c r="R51" i="63"/>
  <c r="R51" i="74"/>
  <c r="R51" i="35"/>
  <c r="R51" i="69"/>
  <c r="R51" i="73"/>
  <c r="R51" i="71"/>
  <c r="R51" i="72"/>
  <c r="R51" i="66"/>
  <c r="R51" i="30"/>
  <c r="R51" i="62"/>
  <c r="R51" i="33"/>
  <c r="R51" i="60"/>
  <c r="R51" i="67"/>
  <c r="R51" i="64"/>
  <c r="R51" i="59"/>
  <c r="R51" i="28"/>
  <c r="R51" i="61"/>
  <c r="R51" i="29"/>
  <c r="R51" i="77"/>
  <c r="R51" i="65"/>
  <c r="R51" i="32"/>
  <c r="R51" i="31"/>
  <c r="R47" i="70"/>
  <c r="R47" i="63"/>
  <c r="R47" i="69"/>
  <c r="R47" i="74"/>
  <c r="R47" i="68"/>
  <c r="R47" i="35"/>
  <c r="R47" i="73"/>
  <c r="R47" i="72"/>
  <c r="R47" i="71"/>
  <c r="R47" i="66"/>
  <c r="R47" i="30"/>
  <c r="R47" i="62"/>
  <c r="R47" i="67"/>
  <c r="R47" i="65"/>
  <c r="R47" i="60"/>
  <c r="R47" i="33"/>
  <c r="R47" i="64"/>
  <c r="R47" i="59"/>
  <c r="R47" i="61"/>
  <c r="R47" i="28"/>
  <c r="R47" i="29"/>
  <c r="R47" i="77"/>
  <c r="R47" i="31"/>
  <c r="R43" i="70"/>
  <c r="R43" i="63"/>
  <c r="R43" i="68"/>
  <c r="R43" i="74"/>
  <c r="R43" i="69"/>
  <c r="R43" i="73"/>
  <c r="R43" i="35"/>
  <c r="R43" i="71"/>
  <c r="R43" i="72"/>
  <c r="R43" i="66"/>
  <c r="R43" i="30"/>
  <c r="R43" i="62"/>
  <c r="R43" i="60"/>
  <c r="R43" i="65"/>
  <c r="R43" i="33"/>
  <c r="R43" i="64"/>
  <c r="R43" i="59"/>
  <c r="R43" i="32"/>
  <c r="R43" i="67"/>
  <c r="R43" i="28"/>
  <c r="R43" i="31"/>
  <c r="R39" i="70"/>
  <c r="R39" i="63"/>
  <c r="R39" i="69"/>
  <c r="R39" i="74"/>
  <c r="R39" i="35"/>
  <c r="R39" i="68"/>
  <c r="R39" i="73"/>
  <c r="R39" i="72"/>
  <c r="R39" i="71"/>
  <c r="R39" i="66"/>
  <c r="R39" i="30"/>
  <c r="R39" i="62"/>
  <c r="R39" i="60"/>
  <c r="R39" i="67"/>
  <c r="R39" i="65"/>
  <c r="R39" i="64"/>
  <c r="R39" i="59"/>
  <c r="R39" i="29"/>
  <c r="R39" i="77"/>
  <c r="R39" i="33"/>
  <c r="R39" i="32"/>
  <c r="R39" i="61"/>
  <c r="R39" i="31"/>
  <c r="R35" i="70"/>
  <c r="R35" i="68"/>
  <c r="R35" i="63"/>
  <c r="R35" i="74"/>
  <c r="R35" i="69"/>
  <c r="R35" i="35"/>
  <c r="R35" i="73"/>
  <c r="R35" i="71"/>
  <c r="R35" i="72"/>
  <c r="R35" i="66"/>
  <c r="R35" i="30"/>
  <c r="R35" i="62"/>
  <c r="R35" i="33"/>
  <c r="R35" i="60"/>
  <c r="R35" i="67"/>
  <c r="R35" i="59"/>
  <c r="R35" i="28"/>
  <c r="R35" i="61"/>
  <c r="R35" i="29"/>
  <c r="R35" i="77"/>
  <c r="R35" i="32"/>
  <c r="R35" i="31"/>
  <c r="R31" i="68"/>
  <c r="R31" i="70"/>
  <c r="R31" i="63"/>
  <c r="R31" i="69"/>
  <c r="R31" i="74"/>
  <c r="R31" i="73"/>
  <c r="R31" i="72"/>
  <c r="R31" i="35"/>
  <c r="R31" i="71"/>
  <c r="R31" i="66"/>
  <c r="R31" i="30"/>
  <c r="R31" i="62"/>
  <c r="R31" i="67"/>
  <c r="R31" i="64"/>
  <c r="R31" i="60"/>
  <c r="R31" i="65"/>
  <c r="R31" i="33"/>
  <c r="R31" i="59"/>
  <c r="R31" i="61"/>
  <c r="R31" i="28"/>
  <c r="R31" i="29"/>
  <c r="R31" i="77"/>
  <c r="R31" i="31"/>
  <c r="R27" i="68"/>
  <c r="R27" i="70"/>
  <c r="R27" i="63"/>
  <c r="R27" i="74"/>
  <c r="R27" i="35"/>
  <c r="R27" i="73"/>
  <c r="R27" i="69"/>
  <c r="R27" i="71"/>
  <c r="R27" i="72"/>
  <c r="R27" i="66"/>
  <c r="R27" i="30"/>
  <c r="R27" i="62"/>
  <c r="R27" i="60"/>
  <c r="R27" i="64"/>
  <c r="R27" i="33"/>
  <c r="R27" i="59"/>
  <c r="R27" i="67"/>
  <c r="R27" i="32"/>
  <c r="R27" i="65"/>
  <c r="R27" i="28"/>
  <c r="R27" i="31"/>
  <c r="R23" i="68"/>
  <c r="R23" i="70"/>
  <c r="R23" i="63"/>
  <c r="R23" i="69"/>
  <c r="R23" i="74"/>
  <c r="R23" i="73"/>
  <c r="R23" i="71"/>
  <c r="R23" i="35"/>
  <c r="R23" i="72"/>
  <c r="R23" i="66"/>
  <c r="R23" i="30"/>
  <c r="R23" i="62"/>
  <c r="R23" i="60"/>
  <c r="R23" i="65"/>
  <c r="R23" i="67"/>
  <c r="R23" i="64"/>
  <c r="R23" i="59"/>
  <c r="R23" i="29"/>
  <c r="R23" i="77"/>
  <c r="R23" i="32"/>
  <c r="R23" i="33"/>
  <c r="R23" i="61"/>
  <c r="R23" i="31"/>
  <c r="R19" i="68"/>
  <c r="R19" i="70"/>
  <c r="R19" i="63"/>
  <c r="R19" i="74"/>
  <c r="R19" i="35"/>
  <c r="R19" i="69"/>
  <c r="R19" i="73"/>
  <c r="R19" i="71"/>
  <c r="R19" i="72"/>
  <c r="R19" i="66"/>
  <c r="R19" i="30"/>
  <c r="R19" i="62"/>
  <c r="R19" i="33"/>
  <c r="R19" i="60"/>
  <c r="R19" i="67"/>
  <c r="R19" i="59"/>
  <c r="R19" i="64"/>
  <c r="R19" i="28"/>
  <c r="R19" i="65"/>
  <c r="R19" i="61"/>
  <c r="R19" i="29"/>
  <c r="R19" i="77"/>
  <c r="R19" i="32"/>
  <c r="R19" i="31"/>
  <c r="R15" i="68"/>
  <c r="R15" i="70"/>
  <c r="R15" i="63"/>
  <c r="R15" i="69"/>
  <c r="R15" i="74"/>
  <c r="R15" i="73"/>
  <c r="R15" i="35"/>
  <c r="R15" i="72"/>
  <c r="R15" i="71"/>
  <c r="R15" i="66"/>
  <c r="R15" i="30"/>
  <c r="R15" i="62"/>
  <c r="R15" i="67"/>
  <c r="R15" i="64"/>
  <c r="R15" i="60"/>
  <c r="R15" i="65"/>
  <c r="R15" i="33"/>
  <c r="R15" i="59"/>
  <c r="R15" i="61"/>
  <c r="R15" i="28"/>
  <c r="R15" i="29"/>
  <c r="R15" i="77"/>
  <c r="R15" i="31"/>
  <c r="R11" i="68"/>
  <c r="R11" i="70"/>
  <c r="R11" i="63"/>
  <c r="R11" i="74"/>
  <c r="R11" i="69"/>
  <c r="R11" i="35"/>
  <c r="R11" i="73"/>
  <c r="R11" i="71"/>
  <c r="R11" i="72"/>
  <c r="R11" i="66"/>
  <c r="R11" i="30"/>
  <c r="R11" i="62"/>
  <c r="R11" i="60"/>
  <c r="R11" i="64"/>
  <c r="R11" i="33"/>
  <c r="R11" i="59"/>
  <c r="R11" i="65"/>
  <c r="R11" i="32"/>
  <c r="R11" i="76"/>
  <c r="R11" i="28"/>
  <c r="R11" i="31"/>
  <c r="R7" i="68"/>
  <c r="R7" i="70"/>
  <c r="R7" i="63"/>
  <c r="R7" i="69"/>
  <c r="R7" i="74"/>
  <c r="R7" i="73"/>
  <c r="R7" i="71"/>
  <c r="R7" i="72"/>
  <c r="R7" i="35"/>
  <c r="R7" i="66"/>
  <c r="R7" i="30"/>
  <c r="R7" i="62"/>
  <c r="R7" i="60"/>
  <c r="R7" i="65"/>
  <c r="R7" i="67"/>
  <c r="R7" i="64"/>
  <c r="R7" i="59"/>
  <c r="R7" i="29"/>
  <c r="R7" i="77"/>
  <c r="R7" i="32"/>
  <c r="R7" i="76"/>
  <c r="R7" i="61"/>
  <c r="R7" i="31"/>
  <c r="R123" i="34"/>
  <c r="R118" i="34"/>
  <c r="R107" i="34"/>
  <c r="R102" i="34"/>
  <c r="R96" i="34"/>
  <c r="R91" i="34"/>
  <c r="R86" i="34"/>
  <c r="R75" i="34"/>
  <c r="R70" i="34"/>
  <c r="R59" i="34"/>
  <c r="R54" i="34"/>
  <c r="R48" i="34"/>
  <c r="R43" i="34"/>
  <c r="R32" i="34"/>
  <c r="R27" i="34"/>
  <c r="R11" i="34"/>
  <c r="R121" i="75"/>
  <c r="R116" i="75"/>
  <c r="R111" i="75"/>
  <c r="R105" i="75"/>
  <c r="R95" i="75"/>
  <c r="R89" i="75"/>
  <c r="R84" i="75"/>
  <c r="R79" i="75"/>
  <c r="R68" i="75"/>
  <c r="R63" i="75"/>
  <c r="R47" i="75"/>
  <c r="R41" i="75"/>
  <c r="R36" i="75"/>
  <c r="R31" i="75"/>
  <c r="R25" i="75"/>
  <c r="R20" i="75"/>
  <c r="R15" i="75"/>
  <c r="R4" i="31"/>
  <c r="R120" i="31"/>
  <c r="R109" i="31"/>
  <c r="R104" i="31"/>
  <c r="R98" i="31"/>
  <c r="R93" i="31"/>
  <c r="R82" i="31"/>
  <c r="R77" i="31"/>
  <c r="R72" i="31"/>
  <c r="R61" i="31"/>
  <c r="R56" i="31"/>
  <c r="R45" i="31"/>
  <c r="R40" i="31"/>
  <c r="R29" i="31"/>
  <c r="R24" i="31"/>
  <c r="R18" i="31"/>
  <c r="R13" i="31"/>
  <c r="R123" i="76"/>
  <c r="R118" i="76"/>
  <c r="R113" i="76"/>
  <c r="R107" i="76"/>
  <c r="R95" i="76"/>
  <c r="R87" i="76"/>
  <c r="R79" i="76"/>
  <c r="R71" i="76"/>
  <c r="R63" i="76"/>
  <c r="R55" i="76"/>
  <c r="R47" i="76"/>
  <c r="R39" i="76"/>
  <c r="R31" i="76"/>
  <c r="R23" i="76"/>
  <c r="R15" i="76"/>
  <c r="R122" i="28"/>
  <c r="R103" i="28"/>
  <c r="R82" i="28"/>
  <c r="R61" i="28"/>
  <c r="R39" i="28"/>
  <c r="R18" i="28"/>
  <c r="R118" i="77"/>
  <c r="R96" i="77"/>
  <c r="R75" i="77"/>
  <c r="R54" i="77"/>
  <c r="R32" i="77"/>
  <c r="R11" i="77"/>
  <c r="R111" i="32"/>
  <c r="R68" i="32"/>
  <c r="R47" i="32"/>
  <c r="R4" i="59"/>
  <c r="R104" i="59"/>
  <c r="R61" i="59"/>
  <c r="R97" i="29"/>
  <c r="R75" i="29"/>
  <c r="R33" i="29"/>
  <c r="R11" i="29"/>
  <c r="R111" i="60"/>
  <c r="R91" i="61"/>
  <c r="R27" i="61"/>
  <c r="R84" i="64"/>
  <c r="R49" i="33"/>
  <c r="R85" i="62"/>
  <c r="R35" i="65"/>
  <c r="R75" i="67"/>
  <c r="R124" i="69"/>
  <c r="R124" i="68"/>
  <c r="R124" i="35"/>
  <c r="R124" i="70"/>
  <c r="R124" i="63"/>
  <c r="R124" i="74"/>
  <c r="R124" i="71"/>
  <c r="R124" i="72"/>
  <c r="R124" i="73"/>
  <c r="R124" i="67"/>
  <c r="R124" i="65"/>
  <c r="R124" i="62"/>
  <c r="R124" i="61"/>
  <c r="R124" i="30"/>
  <c r="R124" i="29"/>
  <c r="R124" i="77"/>
  <c r="R124" i="33"/>
  <c r="R124" i="64"/>
  <c r="R124" i="60"/>
  <c r="R124" i="32"/>
  <c r="R124" i="28"/>
  <c r="R124" i="59"/>
  <c r="R124" i="76"/>
  <c r="R112" i="69"/>
  <c r="R112" i="68"/>
  <c r="R112" i="70"/>
  <c r="R112" i="35"/>
  <c r="R112" i="71"/>
  <c r="R112" i="63"/>
  <c r="R112" i="74"/>
  <c r="R112" i="73"/>
  <c r="R112" i="72"/>
  <c r="R112" i="67"/>
  <c r="R112" i="65"/>
  <c r="R112" i="61"/>
  <c r="R112" i="66"/>
  <c r="R112" i="30"/>
  <c r="R112" i="33"/>
  <c r="R112" i="29"/>
  <c r="R112" i="28"/>
  <c r="R112" i="62"/>
  <c r="R112" i="60"/>
  <c r="R112" i="32"/>
  <c r="R112" i="59"/>
  <c r="R112" i="64"/>
  <c r="R112" i="76"/>
  <c r="R100" i="69"/>
  <c r="R100" i="35"/>
  <c r="R100" i="70"/>
  <c r="R100" i="68"/>
  <c r="R100" i="63"/>
  <c r="R100" i="72"/>
  <c r="R100" i="73"/>
  <c r="R100" i="74"/>
  <c r="R100" i="71"/>
  <c r="R100" i="67"/>
  <c r="R100" i="66"/>
  <c r="R100" i="65"/>
  <c r="R100" i="61"/>
  <c r="R100" i="33"/>
  <c r="R100" i="62"/>
  <c r="R100" i="29"/>
  <c r="R100" i="28"/>
  <c r="R100" i="59"/>
  <c r="R100" i="30"/>
  <c r="R100" i="77"/>
  <c r="R100" i="76"/>
  <c r="R88" i="69"/>
  <c r="R88" i="70"/>
  <c r="R88" i="68"/>
  <c r="R88" i="35"/>
  <c r="R88" i="74"/>
  <c r="R88" i="73"/>
  <c r="R88" i="63"/>
  <c r="R88" i="71"/>
  <c r="R88" i="72"/>
  <c r="R88" i="67"/>
  <c r="R88" i="66"/>
  <c r="R88" i="65"/>
  <c r="R88" i="30"/>
  <c r="R88" i="33"/>
  <c r="R88" i="61"/>
  <c r="R88" i="62"/>
  <c r="R88" i="29"/>
  <c r="R88" i="28"/>
  <c r="R88" i="64"/>
  <c r="R88" i="77"/>
  <c r="R88" i="60"/>
  <c r="R88" i="32"/>
  <c r="R88" i="76"/>
  <c r="R76" i="69"/>
  <c r="R76" i="70"/>
  <c r="R76" i="35"/>
  <c r="R76" i="68"/>
  <c r="R76" i="63"/>
  <c r="R76" i="74"/>
  <c r="R76" i="71"/>
  <c r="R76" i="72"/>
  <c r="R76" i="73"/>
  <c r="R76" i="67"/>
  <c r="R76" i="66"/>
  <c r="R76" i="65"/>
  <c r="R76" i="62"/>
  <c r="R76" i="61"/>
  <c r="R76" i="30"/>
  <c r="R76" i="29"/>
  <c r="R76" i="28"/>
  <c r="R76" i="33"/>
  <c r="R76" i="60"/>
  <c r="R76" i="77"/>
  <c r="R76" i="64"/>
  <c r="R76" i="32"/>
  <c r="R76" i="59"/>
  <c r="R76" i="76"/>
  <c r="R64" i="69"/>
  <c r="R64" i="70"/>
  <c r="R64" i="68"/>
  <c r="R64" i="35"/>
  <c r="R64" i="71"/>
  <c r="R64" i="73"/>
  <c r="R64" i="63"/>
  <c r="R64" i="74"/>
  <c r="R64" i="72"/>
  <c r="R64" i="67"/>
  <c r="R64" i="66"/>
  <c r="R64" i="65"/>
  <c r="R64" i="61"/>
  <c r="R64" i="30"/>
  <c r="R64" i="33"/>
  <c r="R64" i="29"/>
  <c r="R64" i="28"/>
  <c r="R64" i="32"/>
  <c r="R64" i="59"/>
  <c r="R64" i="64"/>
  <c r="R64" i="60"/>
  <c r="R64" i="76"/>
  <c r="R52" i="69"/>
  <c r="R52" i="35"/>
  <c r="R52" i="63"/>
  <c r="R52" i="70"/>
  <c r="R52" i="68"/>
  <c r="R52" i="74"/>
  <c r="R52" i="72"/>
  <c r="R52" i="73"/>
  <c r="R52" i="71"/>
  <c r="R52" i="67"/>
  <c r="R52" i="66"/>
  <c r="R52" i="65"/>
  <c r="R52" i="61"/>
  <c r="R52" i="33"/>
  <c r="R52" i="62"/>
  <c r="R52" i="29"/>
  <c r="R52" i="28"/>
  <c r="R52" i="60"/>
  <c r="R52" i="59"/>
  <c r="R52" i="30"/>
  <c r="R52" i="77"/>
  <c r="R52" i="76"/>
  <c r="R40" i="69"/>
  <c r="R40" i="70"/>
  <c r="R40" i="68"/>
  <c r="R40" i="35"/>
  <c r="R40" i="63"/>
  <c r="R40" i="73"/>
  <c r="R40" i="74"/>
  <c r="R40" i="71"/>
  <c r="R40" i="72"/>
  <c r="R40" i="67"/>
  <c r="R40" i="66"/>
  <c r="R40" i="65"/>
  <c r="R40" i="30"/>
  <c r="R40" i="33"/>
  <c r="R40" i="61"/>
  <c r="R40" i="62"/>
  <c r="R40" i="29"/>
  <c r="R40" i="28"/>
  <c r="R40" i="64"/>
  <c r="R40" i="77"/>
  <c r="R40" i="60"/>
  <c r="R40" i="32"/>
  <c r="R40" i="76"/>
  <c r="R28" i="69"/>
  <c r="R28" i="68"/>
  <c r="R28" i="70"/>
  <c r="R28" i="35"/>
  <c r="R28" i="63"/>
  <c r="R28" i="74"/>
  <c r="R28" i="72"/>
  <c r="R28" i="73"/>
  <c r="R28" i="71"/>
  <c r="R28" i="67"/>
  <c r="R28" i="66"/>
  <c r="R28" i="65"/>
  <c r="R28" i="62"/>
  <c r="R28" i="61"/>
  <c r="R28" i="30"/>
  <c r="R28" i="64"/>
  <c r="R28" i="29"/>
  <c r="R28" i="28"/>
  <c r="R28" i="60"/>
  <c r="R28" i="77"/>
  <c r="R28" i="32"/>
  <c r="R28" i="59"/>
  <c r="R28" i="76"/>
  <c r="R16" i="69"/>
  <c r="R16" i="70"/>
  <c r="R16" i="68"/>
  <c r="R16" i="35"/>
  <c r="R16" i="74"/>
  <c r="R16" i="71"/>
  <c r="R16" i="63"/>
  <c r="R16" i="72"/>
  <c r="R16" i="73"/>
  <c r="R16" i="67"/>
  <c r="R16" i="66"/>
  <c r="R16" i="65"/>
  <c r="R16" i="61"/>
  <c r="R16" i="64"/>
  <c r="R16" i="60"/>
  <c r="R16" i="30"/>
  <c r="R16" i="33"/>
  <c r="R16" i="29"/>
  <c r="R16" i="28"/>
  <c r="R16" i="32"/>
  <c r="R16" i="59"/>
  <c r="R16" i="62"/>
  <c r="R16" i="76"/>
  <c r="R76" i="34"/>
  <c r="R118" i="69"/>
  <c r="R118" i="70"/>
  <c r="R118" i="68"/>
  <c r="R118" i="63"/>
  <c r="R118" i="74"/>
  <c r="R118" i="72"/>
  <c r="R118" i="71"/>
  <c r="R118" i="35"/>
  <c r="R118" i="73"/>
  <c r="R118" i="30"/>
  <c r="R118" i="67"/>
  <c r="R118" i="33"/>
  <c r="R118" i="66"/>
  <c r="R118" i="62"/>
  <c r="R118" i="65"/>
  <c r="R118" i="64"/>
  <c r="R118" i="61"/>
  <c r="R118" i="32"/>
  <c r="R118" i="60"/>
  <c r="R118" i="59"/>
  <c r="R118" i="75"/>
  <c r="R110" i="69"/>
  <c r="R110" i="70"/>
  <c r="R110" i="68"/>
  <c r="R110" i="63"/>
  <c r="R110" i="72"/>
  <c r="R110" i="74"/>
  <c r="R110" i="73"/>
  <c r="R110" i="35"/>
  <c r="R110" i="71"/>
  <c r="R110" i="30"/>
  <c r="R110" i="67"/>
  <c r="R110" i="33"/>
  <c r="R110" i="66"/>
  <c r="R110" i="64"/>
  <c r="R110" i="62"/>
  <c r="R110" i="61"/>
  <c r="R110" i="32"/>
  <c r="R110" i="59"/>
  <c r="R110" i="28"/>
  <c r="R110" i="65"/>
  <c r="R110" i="29"/>
  <c r="R110" i="77"/>
  <c r="R110" i="60"/>
  <c r="R110" i="75"/>
  <c r="R102" i="69"/>
  <c r="R102" i="70"/>
  <c r="R102" i="68"/>
  <c r="R102" i="63"/>
  <c r="R102" i="74"/>
  <c r="R102" i="72"/>
  <c r="R102" i="71"/>
  <c r="R102" i="35"/>
  <c r="R102" i="73"/>
  <c r="R102" i="30"/>
  <c r="R102" i="67"/>
  <c r="R102" i="33"/>
  <c r="R102" i="66"/>
  <c r="R102" i="62"/>
  <c r="R102" i="65"/>
  <c r="R102" i="64"/>
  <c r="R102" i="61"/>
  <c r="R102" i="32"/>
  <c r="R102" i="60"/>
  <c r="R102" i="59"/>
  <c r="R102" i="28"/>
  <c r="R102" i="75"/>
  <c r="R90" i="70"/>
  <c r="R90" i="69"/>
  <c r="R90" i="63"/>
  <c r="R90" i="68"/>
  <c r="R90" i="35"/>
  <c r="R90" i="72"/>
  <c r="R90" i="74"/>
  <c r="R90" i="73"/>
  <c r="R90" i="71"/>
  <c r="R90" i="30"/>
  <c r="R90" i="67"/>
  <c r="R90" i="33"/>
  <c r="R90" i="65"/>
  <c r="R90" i="66"/>
  <c r="R90" i="64"/>
  <c r="R90" i="61"/>
  <c r="R90" i="32"/>
  <c r="R90" i="62"/>
  <c r="R90" i="76"/>
  <c r="R90" i="59"/>
  <c r="R90" i="28"/>
  <c r="R90" i="29"/>
  <c r="R90" i="77"/>
  <c r="R90" i="75"/>
  <c r="R82" i="70"/>
  <c r="R82" i="69"/>
  <c r="R82" i="63"/>
  <c r="R82" i="35"/>
  <c r="R82" i="68"/>
  <c r="R82" i="72"/>
  <c r="R82" i="73"/>
  <c r="R82" i="74"/>
  <c r="R82" i="71"/>
  <c r="R82" i="30"/>
  <c r="R82" i="67"/>
  <c r="R82" i="33"/>
  <c r="R82" i="62"/>
  <c r="R82" i="64"/>
  <c r="R82" i="65"/>
  <c r="R82" i="61"/>
  <c r="R82" i="32"/>
  <c r="R82" i="29"/>
  <c r="R82" i="77"/>
  <c r="R82" i="76"/>
  <c r="R82" i="75"/>
  <c r="R74" i="70"/>
  <c r="R74" i="69"/>
  <c r="R74" i="63"/>
  <c r="R74" i="35"/>
  <c r="R74" i="72"/>
  <c r="R74" i="74"/>
  <c r="R74" i="68"/>
  <c r="R74" i="73"/>
  <c r="R74" i="71"/>
  <c r="R74" i="30"/>
  <c r="R74" i="67"/>
  <c r="R74" i="33"/>
  <c r="R74" i="65"/>
  <c r="R74" i="66"/>
  <c r="R74" i="64"/>
  <c r="R74" i="61"/>
  <c r="R74" i="32"/>
  <c r="R74" i="76"/>
  <c r="R74" i="62"/>
  <c r="R74" i="59"/>
  <c r="R74" i="28"/>
  <c r="R74" i="29"/>
  <c r="R74" i="77"/>
  <c r="R74" i="75"/>
  <c r="R66" i="70"/>
  <c r="R66" i="69"/>
  <c r="R66" i="68"/>
  <c r="R66" i="63"/>
  <c r="R66" i="35"/>
  <c r="R66" i="72"/>
  <c r="R66" i="74"/>
  <c r="R66" i="73"/>
  <c r="R66" i="71"/>
  <c r="R66" i="30"/>
  <c r="R66" i="67"/>
  <c r="R66" i="33"/>
  <c r="R66" i="62"/>
  <c r="R66" i="64"/>
  <c r="R66" i="65"/>
  <c r="R66" i="61"/>
  <c r="R66" i="32"/>
  <c r="R66" i="29"/>
  <c r="R66" i="77"/>
  <c r="R66" i="76"/>
  <c r="R66" i="66"/>
  <c r="R66" i="75"/>
  <c r="R58" i="70"/>
  <c r="R58" i="69"/>
  <c r="R58" i="63"/>
  <c r="R58" i="68"/>
  <c r="R58" i="35"/>
  <c r="R58" i="72"/>
  <c r="R58" i="74"/>
  <c r="R58" i="73"/>
  <c r="R58" i="71"/>
  <c r="R58" i="30"/>
  <c r="R58" i="67"/>
  <c r="R58" i="33"/>
  <c r="R58" i="65"/>
  <c r="R58" i="66"/>
  <c r="R58" i="64"/>
  <c r="R58" i="61"/>
  <c r="R58" i="32"/>
  <c r="R58" i="76"/>
  <c r="R58" i="59"/>
  <c r="R58" i="28"/>
  <c r="R58" i="62"/>
  <c r="R58" i="29"/>
  <c r="R58" i="77"/>
  <c r="R58" i="75"/>
  <c r="R54" i="70"/>
  <c r="R54" i="69"/>
  <c r="R54" i="68"/>
  <c r="R54" i="63"/>
  <c r="R54" i="74"/>
  <c r="R54" i="72"/>
  <c r="R54" i="71"/>
  <c r="R54" i="35"/>
  <c r="R54" i="73"/>
  <c r="R54" i="30"/>
  <c r="R54" i="67"/>
  <c r="R54" i="33"/>
  <c r="R54" i="66"/>
  <c r="R54" i="62"/>
  <c r="R54" i="65"/>
  <c r="R54" i="64"/>
  <c r="R54" i="61"/>
  <c r="R54" i="32"/>
  <c r="R54" i="76"/>
  <c r="R54" i="60"/>
  <c r="R54" i="59"/>
  <c r="R54" i="28"/>
  <c r="R54" i="75"/>
  <c r="R50" i="70"/>
  <c r="R50" i="69"/>
  <c r="R50" i="63"/>
  <c r="R50" i="35"/>
  <c r="R50" i="68"/>
  <c r="R50" i="72"/>
  <c r="R50" i="73"/>
  <c r="R50" i="71"/>
  <c r="R50" i="74"/>
  <c r="R50" i="30"/>
  <c r="R50" i="67"/>
  <c r="R50" i="33"/>
  <c r="R50" i="62"/>
  <c r="R50" i="64"/>
  <c r="R50" i="65"/>
  <c r="R50" i="61"/>
  <c r="R50" i="32"/>
  <c r="R50" i="29"/>
  <c r="R50" i="77"/>
  <c r="R50" i="76"/>
  <c r="R50" i="66"/>
  <c r="R50" i="75"/>
  <c r="R46" i="70"/>
  <c r="R46" i="69"/>
  <c r="R46" i="68"/>
  <c r="R46" i="35"/>
  <c r="R46" i="63"/>
  <c r="R46" i="72"/>
  <c r="R46" i="74"/>
  <c r="R46" i="73"/>
  <c r="R46" i="71"/>
  <c r="R46" i="30"/>
  <c r="R46" i="67"/>
  <c r="R46" i="33"/>
  <c r="R46" i="64"/>
  <c r="R46" i="66"/>
  <c r="R46" i="62"/>
  <c r="R46" i="61"/>
  <c r="R46" i="32"/>
  <c r="R46" i="59"/>
  <c r="R46" i="28"/>
  <c r="R46" i="76"/>
  <c r="R46" i="65"/>
  <c r="R46" i="60"/>
  <c r="R46" i="29"/>
  <c r="R46" i="77"/>
  <c r="R46" i="75"/>
  <c r="R42" i="70"/>
  <c r="R42" i="69"/>
  <c r="R42" i="63"/>
  <c r="R42" i="35"/>
  <c r="R42" i="72"/>
  <c r="R42" i="73"/>
  <c r="R42" i="68"/>
  <c r="R42" i="74"/>
  <c r="R42" i="71"/>
  <c r="R42" i="30"/>
  <c r="R42" i="67"/>
  <c r="R42" i="33"/>
  <c r="R42" i="65"/>
  <c r="R42" i="66"/>
  <c r="R42" i="64"/>
  <c r="R42" i="61"/>
  <c r="R42" i="32"/>
  <c r="R42" i="76"/>
  <c r="R42" i="59"/>
  <c r="R42" i="28"/>
  <c r="R42" i="29"/>
  <c r="R42" i="77"/>
  <c r="R42" i="75"/>
  <c r="R38" i="70"/>
  <c r="R38" i="69"/>
  <c r="R38" i="68"/>
  <c r="R38" i="63"/>
  <c r="R38" i="74"/>
  <c r="R38" i="72"/>
  <c r="R38" i="71"/>
  <c r="R38" i="35"/>
  <c r="R38" i="73"/>
  <c r="R38" i="30"/>
  <c r="R38" i="67"/>
  <c r="R38" i="33"/>
  <c r="R38" i="66"/>
  <c r="R38" i="62"/>
  <c r="R38" i="65"/>
  <c r="R38" i="64"/>
  <c r="R38" i="61"/>
  <c r="R38" i="32"/>
  <c r="R38" i="76"/>
  <c r="R38" i="60"/>
  <c r="R38" i="59"/>
  <c r="R38" i="28"/>
  <c r="R38" i="75"/>
  <c r="R34" i="70"/>
  <c r="R34" i="69"/>
  <c r="R34" i="35"/>
  <c r="R34" i="68"/>
  <c r="R34" i="63"/>
  <c r="R34" i="72"/>
  <c r="R34" i="73"/>
  <c r="R34" i="71"/>
  <c r="R34" i="74"/>
  <c r="R34" i="65"/>
  <c r="R34" i="30"/>
  <c r="R34" i="67"/>
  <c r="R34" i="33"/>
  <c r="R34" i="62"/>
  <c r="R34" i="64"/>
  <c r="R34" i="61"/>
  <c r="R34" i="32"/>
  <c r="R34" i="66"/>
  <c r="R34" i="29"/>
  <c r="R34" i="77"/>
  <c r="R34" i="76"/>
  <c r="R34" i="75"/>
  <c r="R30" i="70"/>
  <c r="R30" i="69"/>
  <c r="R30" i="35"/>
  <c r="R30" i="74"/>
  <c r="R30" i="63"/>
  <c r="R30" i="72"/>
  <c r="R30" i="73"/>
  <c r="R30" i="68"/>
  <c r="R30" i="71"/>
  <c r="R30" i="65"/>
  <c r="R30" i="30"/>
  <c r="R30" i="67"/>
  <c r="R30" i="33"/>
  <c r="R30" i="66"/>
  <c r="R30" i="62"/>
  <c r="R30" i="61"/>
  <c r="R30" i="32"/>
  <c r="R30" i="59"/>
  <c r="R30" i="28"/>
  <c r="R30" i="76"/>
  <c r="R30" i="60"/>
  <c r="R30" i="29"/>
  <c r="R30" i="77"/>
  <c r="R30" i="64"/>
  <c r="R30" i="75"/>
  <c r="R26" i="70"/>
  <c r="R26" i="69"/>
  <c r="R26" i="35"/>
  <c r="R26" i="63"/>
  <c r="R26" i="68"/>
  <c r="R26" i="72"/>
  <c r="R26" i="74"/>
  <c r="R26" i="73"/>
  <c r="R26" i="71"/>
  <c r="R26" i="65"/>
  <c r="R26" i="30"/>
  <c r="R26" i="67"/>
  <c r="R26" i="33"/>
  <c r="R26" i="64"/>
  <c r="R26" i="66"/>
  <c r="R26" i="61"/>
  <c r="R26" i="32"/>
  <c r="R26" i="62"/>
  <c r="R26" i="76"/>
  <c r="R26" i="59"/>
  <c r="R26" i="28"/>
  <c r="R26" i="29"/>
  <c r="R26" i="77"/>
  <c r="R26" i="75"/>
  <c r="R22" i="70"/>
  <c r="R22" i="69"/>
  <c r="R22" i="35"/>
  <c r="R22" i="68"/>
  <c r="R22" i="63"/>
  <c r="R22" i="74"/>
  <c r="R22" i="72"/>
  <c r="R22" i="71"/>
  <c r="R22" i="73"/>
  <c r="R22" i="65"/>
  <c r="R22" i="30"/>
  <c r="R22" i="67"/>
  <c r="R22" i="33"/>
  <c r="R22" i="66"/>
  <c r="R22" i="62"/>
  <c r="R22" i="64"/>
  <c r="R22" i="61"/>
  <c r="R22" i="32"/>
  <c r="R22" i="76"/>
  <c r="R22" i="60"/>
  <c r="R22" i="59"/>
  <c r="R22" i="28"/>
  <c r="R22" i="75"/>
  <c r="R18" i="70"/>
  <c r="R18" i="69"/>
  <c r="R18" i="35"/>
  <c r="R18" i="68"/>
  <c r="R18" i="63"/>
  <c r="R18" i="72"/>
  <c r="R18" i="73"/>
  <c r="R18" i="74"/>
  <c r="R18" i="71"/>
  <c r="R18" i="65"/>
  <c r="R18" i="30"/>
  <c r="R18" i="67"/>
  <c r="R18" i="33"/>
  <c r="R18" i="62"/>
  <c r="R18" i="64"/>
  <c r="R18" i="61"/>
  <c r="R18" i="32"/>
  <c r="R18" i="29"/>
  <c r="R18" i="77"/>
  <c r="R18" i="76"/>
  <c r="R18" i="75"/>
  <c r="R14" i="70"/>
  <c r="R14" i="69"/>
  <c r="R14" i="35"/>
  <c r="R14" i="74"/>
  <c r="R14" i="63"/>
  <c r="R14" i="72"/>
  <c r="R14" i="68"/>
  <c r="R14" i="73"/>
  <c r="R14" i="71"/>
  <c r="R14" i="65"/>
  <c r="R14" i="30"/>
  <c r="R14" i="67"/>
  <c r="R14" i="33"/>
  <c r="R14" i="66"/>
  <c r="R14" i="62"/>
  <c r="R14" i="61"/>
  <c r="R14" i="32"/>
  <c r="R14" i="59"/>
  <c r="R14" i="28"/>
  <c r="R14" i="76"/>
  <c r="R14" i="29"/>
  <c r="R14" i="77"/>
  <c r="R14" i="60"/>
  <c r="R14" i="75"/>
  <c r="R10" i="70"/>
  <c r="R10" i="69"/>
  <c r="R10" i="35"/>
  <c r="R10" i="63"/>
  <c r="R10" i="68"/>
  <c r="R10" i="72"/>
  <c r="R10" i="74"/>
  <c r="R10" i="73"/>
  <c r="R10" i="71"/>
  <c r="R10" i="65"/>
  <c r="R10" i="30"/>
  <c r="R10" i="67"/>
  <c r="R10" i="33"/>
  <c r="R10" i="64"/>
  <c r="R10" i="66"/>
  <c r="R10" i="61"/>
  <c r="R10" i="32"/>
  <c r="R10" i="76"/>
  <c r="R10" i="62"/>
  <c r="R10" i="60"/>
  <c r="R10" i="59"/>
  <c r="R10" i="28"/>
  <c r="R10" i="29"/>
  <c r="R10" i="77"/>
  <c r="R10" i="75"/>
  <c r="R6" i="70"/>
  <c r="R6" i="69"/>
  <c r="R6" i="35"/>
  <c r="R6" i="68"/>
  <c r="R6" i="63"/>
  <c r="R6" i="74"/>
  <c r="R6" i="72"/>
  <c r="R6" i="71"/>
  <c r="R6" i="73"/>
  <c r="R6" i="65"/>
  <c r="R6" i="30"/>
  <c r="R6" i="67"/>
  <c r="R6" i="33"/>
  <c r="R6" i="66"/>
  <c r="R6" i="62"/>
  <c r="R6" i="64"/>
  <c r="R6" i="61"/>
  <c r="R6" i="32"/>
  <c r="R6" i="60"/>
  <c r="R6" i="76"/>
  <c r="R6" i="59"/>
  <c r="R6" i="28"/>
  <c r="R6" i="75"/>
  <c r="R122" i="34"/>
  <c r="R106" i="34"/>
  <c r="R100" i="34"/>
  <c r="R90" i="34"/>
  <c r="R84" i="34"/>
  <c r="R74" i="34"/>
  <c r="R68" i="34"/>
  <c r="R58" i="34"/>
  <c r="R52" i="34"/>
  <c r="R42" i="34"/>
  <c r="R26" i="34"/>
  <c r="R20" i="34"/>
  <c r="R10" i="34"/>
  <c r="R120" i="75"/>
  <c r="R93" i="75"/>
  <c r="R88" i="75"/>
  <c r="R77" i="75"/>
  <c r="R72" i="75"/>
  <c r="R61" i="75"/>
  <c r="R56" i="75"/>
  <c r="R45" i="75"/>
  <c r="R40" i="75"/>
  <c r="R29" i="75"/>
  <c r="R13" i="75"/>
  <c r="R124" i="31"/>
  <c r="R118" i="31"/>
  <c r="R113" i="31"/>
  <c r="R108" i="31"/>
  <c r="R102" i="31"/>
  <c r="R76" i="31"/>
  <c r="R70" i="31"/>
  <c r="R54" i="31"/>
  <c r="R49" i="31"/>
  <c r="R44" i="31"/>
  <c r="R38" i="31"/>
  <c r="R28" i="31"/>
  <c r="R22" i="31"/>
  <c r="R6" i="31"/>
  <c r="R111" i="76"/>
  <c r="R106" i="76"/>
  <c r="R77" i="76"/>
  <c r="R13" i="76"/>
  <c r="R118" i="28"/>
  <c r="R98" i="28"/>
  <c r="R77" i="28"/>
  <c r="R55" i="28"/>
  <c r="R34" i="28"/>
  <c r="R13" i="28"/>
  <c r="R112" i="77"/>
  <c r="R91" i="77"/>
  <c r="R70" i="77"/>
  <c r="R6" i="77"/>
  <c r="R84" i="32"/>
  <c r="R63" i="32"/>
  <c r="R20" i="32"/>
  <c r="R120" i="59"/>
  <c r="R56" i="59"/>
  <c r="R34" i="59"/>
  <c r="R113" i="29"/>
  <c r="R91" i="29"/>
  <c r="R27" i="29"/>
  <c r="R6" i="29"/>
  <c r="R82" i="60"/>
  <c r="R50" i="60"/>
  <c r="R18" i="60"/>
  <c r="R75" i="61"/>
  <c r="R11" i="61"/>
  <c r="R28" i="33"/>
  <c r="R64" i="62"/>
  <c r="R99" i="65"/>
  <c r="R124" i="66"/>
  <c r="R11" i="67"/>
  <c r="R116" i="69"/>
  <c r="R116" i="68"/>
  <c r="R116" i="35"/>
  <c r="R116" i="63"/>
  <c r="R116" i="70"/>
  <c r="R116" i="74"/>
  <c r="R116" i="72"/>
  <c r="R116" i="73"/>
  <c r="R116" i="71"/>
  <c r="R116" i="67"/>
  <c r="R116" i="65"/>
  <c r="R116" i="61"/>
  <c r="R116" i="33"/>
  <c r="R116" i="62"/>
  <c r="R116" i="29"/>
  <c r="R116" i="59"/>
  <c r="R116" i="28"/>
  <c r="R116" i="30"/>
  <c r="R116" i="66"/>
  <c r="R116" i="77"/>
  <c r="R116" i="76"/>
  <c r="R104" i="69"/>
  <c r="R104" i="68"/>
  <c r="R104" i="70"/>
  <c r="R104" i="35"/>
  <c r="R104" i="63"/>
  <c r="R104" i="73"/>
  <c r="R104" i="74"/>
  <c r="R104" i="71"/>
  <c r="R104" i="72"/>
  <c r="R104" i="67"/>
  <c r="R104" i="65"/>
  <c r="R104" i="30"/>
  <c r="R104" i="33"/>
  <c r="R104" i="61"/>
  <c r="R104" i="66"/>
  <c r="R104" i="62"/>
  <c r="R104" i="29"/>
  <c r="R104" i="28"/>
  <c r="R104" i="64"/>
  <c r="R104" i="77"/>
  <c r="R104" i="60"/>
  <c r="R104" i="32"/>
  <c r="R104" i="76"/>
  <c r="R92" i="69"/>
  <c r="R92" i="70"/>
  <c r="R92" i="35"/>
  <c r="R92" i="63"/>
  <c r="R92" i="68"/>
  <c r="R92" i="74"/>
  <c r="R92" i="71"/>
  <c r="R92" i="72"/>
  <c r="R92" i="73"/>
  <c r="R92" i="67"/>
  <c r="R92" i="66"/>
  <c r="R92" i="65"/>
  <c r="R92" i="62"/>
  <c r="R92" i="61"/>
  <c r="R92" i="30"/>
  <c r="R92" i="29"/>
  <c r="R92" i="28"/>
  <c r="R92" i="77"/>
  <c r="R92" i="64"/>
  <c r="R92" i="60"/>
  <c r="R92" i="32"/>
  <c r="R92" i="59"/>
  <c r="R92" i="76"/>
  <c r="R80" i="69"/>
  <c r="R80" i="70"/>
  <c r="R80" i="68"/>
  <c r="R80" i="35"/>
  <c r="R80" i="74"/>
  <c r="R80" i="71"/>
  <c r="R80" i="63"/>
  <c r="R80" i="72"/>
  <c r="R80" i="73"/>
  <c r="R80" i="67"/>
  <c r="R80" i="66"/>
  <c r="R80" i="65"/>
  <c r="R80" i="61"/>
  <c r="R80" i="30"/>
  <c r="R80" i="33"/>
  <c r="R80" i="29"/>
  <c r="R80" i="28"/>
  <c r="R80" i="32"/>
  <c r="R80" i="59"/>
  <c r="R80" i="62"/>
  <c r="R80" i="64"/>
  <c r="R80" i="60"/>
  <c r="R80" i="76"/>
  <c r="R68" i="69"/>
  <c r="R68" i="35"/>
  <c r="R68" i="68"/>
  <c r="R68" i="63"/>
  <c r="R68" i="70"/>
  <c r="R68" i="72"/>
  <c r="R68" i="74"/>
  <c r="R68" i="73"/>
  <c r="R68" i="71"/>
  <c r="R68" i="67"/>
  <c r="R68" i="66"/>
  <c r="R68" i="65"/>
  <c r="R68" i="61"/>
  <c r="R68" i="33"/>
  <c r="R68" i="62"/>
  <c r="R68" i="29"/>
  <c r="R68" i="28"/>
  <c r="R68" i="60"/>
  <c r="R68" i="59"/>
  <c r="R68" i="77"/>
  <c r="R68" i="76"/>
  <c r="R60" i="69"/>
  <c r="R60" i="70"/>
  <c r="R60" i="35"/>
  <c r="R60" i="63"/>
  <c r="R60" i="68"/>
  <c r="R60" i="74"/>
  <c r="R60" i="72"/>
  <c r="R60" i="73"/>
  <c r="R60" i="71"/>
  <c r="R60" i="67"/>
  <c r="R60" i="66"/>
  <c r="R60" i="65"/>
  <c r="R60" i="62"/>
  <c r="R60" i="61"/>
  <c r="R60" i="30"/>
  <c r="R60" i="29"/>
  <c r="R60" i="28"/>
  <c r="R60" i="60"/>
  <c r="R60" i="77"/>
  <c r="R60" i="33"/>
  <c r="R60" i="64"/>
  <c r="R60" i="32"/>
  <c r="R60" i="59"/>
  <c r="R60" i="76"/>
  <c r="R48" i="69"/>
  <c r="R48" i="70"/>
  <c r="R48" i="68"/>
  <c r="R48" i="35"/>
  <c r="R48" i="71"/>
  <c r="R48" i="72"/>
  <c r="R48" i="63"/>
  <c r="R48" i="74"/>
  <c r="R48" i="73"/>
  <c r="R48" i="67"/>
  <c r="R48" i="66"/>
  <c r="R48" i="65"/>
  <c r="R48" i="61"/>
  <c r="R48" i="30"/>
  <c r="R48" i="33"/>
  <c r="R48" i="29"/>
  <c r="R48" i="28"/>
  <c r="R48" i="62"/>
  <c r="R48" i="32"/>
  <c r="R48" i="59"/>
  <c r="R48" i="64"/>
  <c r="R48" i="60"/>
  <c r="R48" i="76"/>
  <c r="R36" i="69"/>
  <c r="R36" i="35"/>
  <c r="R36" i="74"/>
  <c r="R36" i="70"/>
  <c r="R36" i="68"/>
  <c r="R36" i="63"/>
  <c r="R36" i="72"/>
  <c r="R36" i="73"/>
  <c r="R36" i="71"/>
  <c r="R36" i="67"/>
  <c r="R36" i="66"/>
  <c r="R36" i="65"/>
  <c r="R36" i="64"/>
  <c r="R36" i="61"/>
  <c r="R36" i="33"/>
  <c r="R36" i="62"/>
  <c r="R36" i="29"/>
  <c r="R36" i="28"/>
  <c r="R36" i="60"/>
  <c r="R36" i="59"/>
  <c r="R36" i="30"/>
  <c r="R36" i="77"/>
  <c r="R36" i="76"/>
  <c r="R24" i="69"/>
  <c r="R24" i="70"/>
  <c r="R24" i="68"/>
  <c r="R24" i="35"/>
  <c r="R24" i="73"/>
  <c r="R24" i="63"/>
  <c r="R24" i="71"/>
  <c r="R24" i="74"/>
  <c r="R24" i="72"/>
  <c r="R24" i="67"/>
  <c r="R24" i="66"/>
  <c r="R24" i="65"/>
  <c r="R24" i="30"/>
  <c r="R24" i="33"/>
  <c r="R24" i="61"/>
  <c r="R24" i="62"/>
  <c r="R24" i="29"/>
  <c r="R24" i="28"/>
  <c r="R24" i="64"/>
  <c r="R24" i="77"/>
  <c r="R24" i="60"/>
  <c r="R24" i="32"/>
  <c r="R24" i="76"/>
  <c r="R12" i="69"/>
  <c r="R12" i="68"/>
  <c r="R12" i="70"/>
  <c r="R12" i="35"/>
  <c r="R12" i="63"/>
  <c r="R12" i="74"/>
  <c r="R12" i="72"/>
  <c r="R12" i="73"/>
  <c r="R12" i="71"/>
  <c r="R12" i="67"/>
  <c r="R12" i="66"/>
  <c r="R12" i="65"/>
  <c r="R12" i="62"/>
  <c r="R12" i="61"/>
  <c r="R12" i="30"/>
  <c r="R12" i="60"/>
  <c r="R12" i="64"/>
  <c r="R12" i="29"/>
  <c r="R12" i="28"/>
  <c r="R12" i="33"/>
  <c r="R12" i="77"/>
  <c r="R12" i="32"/>
  <c r="R12" i="59"/>
  <c r="R12" i="76"/>
  <c r="R60" i="34"/>
  <c r="R112" i="75"/>
  <c r="R122" i="69"/>
  <c r="R122" i="70"/>
  <c r="R122" i="68"/>
  <c r="R122" i="63"/>
  <c r="R122" i="35"/>
  <c r="R122" i="72"/>
  <c r="R122" i="74"/>
  <c r="R122" i="73"/>
  <c r="R122" i="71"/>
  <c r="R122" i="30"/>
  <c r="R122" i="67"/>
  <c r="R122" i="33"/>
  <c r="R122" i="65"/>
  <c r="R122" i="64"/>
  <c r="R122" i="66"/>
  <c r="R122" i="61"/>
  <c r="R122" i="32"/>
  <c r="R122" i="59"/>
  <c r="R122" i="62"/>
  <c r="R122" i="29"/>
  <c r="R122" i="77"/>
  <c r="R122" i="75"/>
  <c r="R114" i="69"/>
  <c r="R114" i="70"/>
  <c r="R114" i="68"/>
  <c r="R114" i="63"/>
  <c r="R114" i="35"/>
  <c r="R114" i="72"/>
  <c r="R114" i="73"/>
  <c r="R114" i="71"/>
  <c r="R114" i="74"/>
  <c r="R114" i="30"/>
  <c r="R114" i="67"/>
  <c r="R114" i="33"/>
  <c r="R114" i="62"/>
  <c r="R114" i="64"/>
  <c r="R114" i="66"/>
  <c r="R114" i="65"/>
  <c r="R114" i="61"/>
  <c r="R114" i="32"/>
  <c r="R114" i="29"/>
  <c r="R114" i="77"/>
  <c r="R114" i="60"/>
  <c r="R114" i="75"/>
  <c r="R106" i="69"/>
  <c r="R106" i="70"/>
  <c r="R106" i="68"/>
  <c r="R106" i="63"/>
  <c r="R106" i="35"/>
  <c r="R106" i="72"/>
  <c r="R106" i="73"/>
  <c r="R106" i="74"/>
  <c r="R106" i="71"/>
  <c r="R106" i="30"/>
  <c r="R106" i="67"/>
  <c r="R106" i="33"/>
  <c r="R106" i="65"/>
  <c r="R106" i="64"/>
  <c r="R106" i="66"/>
  <c r="R106" i="61"/>
  <c r="R106" i="32"/>
  <c r="R106" i="59"/>
  <c r="R106" i="28"/>
  <c r="R106" i="29"/>
  <c r="R106" i="77"/>
  <c r="R106" i="75"/>
  <c r="R98" i="70"/>
  <c r="R98" i="69"/>
  <c r="R98" i="68"/>
  <c r="R98" i="63"/>
  <c r="R98" i="35"/>
  <c r="R98" i="72"/>
  <c r="R98" i="73"/>
  <c r="R98" i="74"/>
  <c r="R98" i="71"/>
  <c r="R98" i="30"/>
  <c r="R98" i="67"/>
  <c r="R98" i="33"/>
  <c r="R98" i="62"/>
  <c r="R98" i="64"/>
  <c r="R98" i="65"/>
  <c r="R98" i="61"/>
  <c r="R98" i="32"/>
  <c r="R98" i="66"/>
  <c r="R98" i="29"/>
  <c r="R98" i="77"/>
  <c r="R98" i="76"/>
  <c r="R98" i="60"/>
  <c r="R98" i="75"/>
  <c r="R94" i="70"/>
  <c r="R94" i="69"/>
  <c r="R94" i="68"/>
  <c r="R94" i="35"/>
  <c r="R94" i="63"/>
  <c r="R94" i="72"/>
  <c r="R94" i="74"/>
  <c r="R94" i="73"/>
  <c r="R94" i="71"/>
  <c r="R94" i="30"/>
  <c r="R94" i="67"/>
  <c r="R94" i="33"/>
  <c r="R94" i="64"/>
  <c r="R94" i="66"/>
  <c r="R94" i="62"/>
  <c r="R94" i="61"/>
  <c r="R94" i="32"/>
  <c r="R94" i="59"/>
  <c r="R94" i="28"/>
  <c r="R94" i="76"/>
  <c r="R94" i="29"/>
  <c r="R94" i="77"/>
  <c r="R94" i="65"/>
  <c r="R94" i="60"/>
  <c r="R94" i="75"/>
  <c r="R86" i="70"/>
  <c r="R86" i="69"/>
  <c r="R86" i="68"/>
  <c r="R86" i="63"/>
  <c r="R86" i="74"/>
  <c r="R86" i="72"/>
  <c r="R86" i="35"/>
  <c r="R86" i="71"/>
  <c r="R86" i="73"/>
  <c r="R86" i="30"/>
  <c r="R86" i="67"/>
  <c r="R86" i="33"/>
  <c r="R86" i="66"/>
  <c r="R86" i="62"/>
  <c r="R86" i="65"/>
  <c r="R86" i="64"/>
  <c r="R86" i="61"/>
  <c r="R86" i="32"/>
  <c r="R86" i="76"/>
  <c r="R86" i="60"/>
  <c r="R86" i="59"/>
  <c r="R86" i="28"/>
  <c r="R86" i="75"/>
  <c r="R78" i="70"/>
  <c r="R78" i="69"/>
  <c r="R78" i="68"/>
  <c r="R78" i="35"/>
  <c r="R78" i="63"/>
  <c r="R78" i="72"/>
  <c r="R78" i="73"/>
  <c r="R78" i="71"/>
  <c r="R78" i="74"/>
  <c r="R78" i="30"/>
  <c r="R78" i="67"/>
  <c r="R78" i="33"/>
  <c r="R78" i="64"/>
  <c r="R78" i="66"/>
  <c r="R78" i="62"/>
  <c r="R78" i="61"/>
  <c r="R78" i="32"/>
  <c r="R78" i="59"/>
  <c r="R78" i="28"/>
  <c r="R78" i="76"/>
  <c r="R78" i="60"/>
  <c r="R78" i="29"/>
  <c r="R78" i="77"/>
  <c r="R78" i="75"/>
  <c r="R70" i="70"/>
  <c r="R70" i="69"/>
  <c r="R70" i="68"/>
  <c r="R70" i="63"/>
  <c r="R70" i="74"/>
  <c r="R70" i="72"/>
  <c r="R70" i="71"/>
  <c r="R70" i="35"/>
  <c r="R70" i="73"/>
  <c r="R70" i="30"/>
  <c r="R70" i="67"/>
  <c r="R70" i="33"/>
  <c r="R70" i="66"/>
  <c r="R70" i="62"/>
  <c r="R70" i="65"/>
  <c r="R70" i="64"/>
  <c r="R70" i="61"/>
  <c r="R70" i="32"/>
  <c r="R70" i="76"/>
  <c r="R70" i="60"/>
  <c r="R70" i="59"/>
  <c r="R70" i="28"/>
  <c r="R70" i="75"/>
  <c r="R62" i="70"/>
  <c r="R62" i="69"/>
  <c r="R62" i="68"/>
  <c r="R62" i="35"/>
  <c r="R62" i="63"/>
  <c r="R62" i="72"/>
  <c r="R62" i="73"/>
  <c r="R62" i="74"/>
  <c r="R62" i="71"/>
  <c r="R62" i="30"/>
  <c r="R62" i="67"/>
  <c r="R62" i="33"/>
  <c r="R62" i="64"/>
  <c r="R62" i="66"/>
  <c r="R62" i="62"/>
  <c r="R62" i="61"/>
  <c r="R62" i="32"/>
  <c r="R62" i="65"/>
  <c r="R62" i="59"/>
  <c r="R62" i="28"/>
  <c r="R62" i="76"/>
  <c r="R62" i="60"/>
  <c r="R62" i="29"/>
  <c r="R62" i="77"/>
  <c r="R62" i="75"/>
  <c r="R4" i="70"/>
  <c r="R4" i="69"/>
  <c r="R4" i="63"/>
  <c r="R4" i="35"/>
  <c r="R4" i="68"/>
  <c r="R4" i="71"/>
  <c r="R4" i="73"/>
  <c r="R4" i="74"/>
  <c r="R4" i="72"/>
  <c r="R4" i="30"/>
  <c r="R4" i="67"/>
  <c r="R4" i="66"/>
  <c r="R4" i="33"/>
  <c r="R4" i="64"/>
  <c r="R4" i="62"/>
  <c r="R4" i="61"/>
  <c r="R4" i="65"/>
  <c r="R4" i="60"/>
  <c r="R4" i="77"/>
  <c r="R4" i="29"/>
  <c r="R4" i="32"/>
  <c r="R4" i="28"/>
  <c r="R4" i="34"/>
  <c r="R121" i="70"/>
  <c r="R121" i="69"/>
  <c r="R121" i="63"/>
  <c r="R121" i="71"/>
  <c r="R121" i="72"/>
  <c r="R121" i="73"/>
  <c r="R121" i="35"/>
  <c r="R121" i="68"/>
  <c r="R121" i="74"/>
  <c r="R121" i="30"/>
  <c r="R121" i="67"/>
  <c r="R121" i="66"/>
  <c r="R121" i="64"/>
  <c r="R121" i="33"/>
  <c r="R121" i="61"/>
  <c r="R121" i="62"/>
  <c r="R121" i="60"/>
  <c r="R121" i="77"/>
  <c r="R121" i="59"/>
  <c r="R121" i="29"/>
  <c r="R121" i="28"/>
  <c r="R121" i="34"/>
  <c r="R117" i="70"/>
  <c r="R117" i="69"/>
  <c r="R117" i="63"/>
  <c r="R117" i="68"/>
  <c r="R117" i="35"/>
  <c r="R117" i="71"/>
  <c r="R117" i="74"/>
  <c r="R117" i="72"/>
  <c r="R117" i="73"/>
  <c r="R117" i="30"/>
  <c r="R117" i="67"/>
  <c r="R117" i="66"/>
  <c r="R117" i="65"/>
  <c r="R117" i="64"/>
  <c r="R117" i="61"/>
  <c r="R117" i="33"/>
  <c r="R117" i="60"/>
  <c r="R117" i="77"/>
  <c r="R117" i="32"/>
  <c r="R117" i="62"/>
  <c r="R117" i="59"/>
  <c r="R117" i="29"/>
  <c r="R117" i="28"/>
  <c r="R117" i="34"/>
  <c r="R113" i="70"/>
  <c r="R113" i="69"/>
  <c r="R113" i="63"/>
  <c r="R113" i="74"/>
  <c r="R113" i="71"/>
  <c r="R113" i="68"/>
  <c r="R113" i="72"/>
  <c r="R113" i="35"/>
  <c r="R113" i="73"/>
  <c r="R113" i="30"/>
  <c r="R113" i="67"/>
  <c r="R113" i="66"/>
  <c r="R113" i="62"/>
  <c r="R113" i="64"/>
  <c r="R113" i="65"/>
  <c r="R113" i="61"/>
  <c r="R113" i="60"/>
  <c r="R113" i="77"/>
  <c r="R113" i="32"/>
  <c r="R113" i="59"/>
  <c r="R113" i="28"/>
  <c r="R113" i="34"/>
  <c r="R109" i="70"/>
  <c r="R109" i="69"/>
  <c r="R109" i="63"/>
  <c r="R109" i="35"/>
  <c r="R109" i="68"/>
  <c r="R109" i="71"/>
  <c r="R109" i="74"/>
  <c r="R109" i="73"/>
  <c r="R109" i="72"/>
  <c r="R109" i="30"/>
  <c r="R109" i="67"/>
  <c r="R109" i="66"/>
  <c r="R109" i="33"/>
  <c r="R109" i="64"/>
  <c r="R109" i="62"/>
  <c r="R109" i="61"/>
  <c r="R109" i="65"/>
  <c r="R109" i="60"/>
  <c r="R109" i="77"/>
  <c r="R109" i="29"/>
  <c r="R109" i="32"/>
  <c r="R109" i="34"/>
  <c r="R105" i="70"/>
  <c r="R105" i="69"/>
  <c r="R105" i="63"/>
  <c r="R105" i="71"/>
  <c r="R105" i="35"/>
  <c r="R105" i="72"/>
  <c r="R105" i="73"/>
  <c r="R105" i="68"/>
  <c r="R105" i="74"/>
  <c r="R105" i="30"/>
  <c r="R105" i="67"/>
  <c r="R105" i="66"/>
  <c r="R105" i="64"/>
  <c r="R105" i="33"/>
  <c r="R105" i="61"/>
  <c r="R105" i="62"/>
  <c r="R105" i="60"/>
  <c r="R105" i="77"/>
  <c r="R105" i="65"/>
  <c r="R105" i="59"/>
  <c r="R105" i="28"/>
  <c r="R105" i="29"/>
  <c r="R105" i="34"/>
  <c r="R101" i="70"/>
  <c r="R101" i="68"/>
  <c r="R101" i="69"/>
  <c r="R101" i="63"/>
  <c r="R101" i="35"/>
  <c r="R101" i="71"/>
  <c r="R101" i="74"/>
  <c r="R101" i="73"/>
  <c r="R101" i="72"/>
  <c r="R101" i="30"/>
  <c r="R101" i="67"/>
  <c r="R101" i="66"/>
  <c r="R101" i="65"/>
  <c r="R101" i="64"/>
  <c r="R101" i="61"/>
  <c r="R101" i="33"/>
  <c r="R101" i="60"/>
  <c r="R101" i="77"/>
  <c r="R101" i="32"/>
  <c r="R101" i="59"/>
  <c r="R101" i="28"/>
  <c r="R101" i="62"/>
  <c r="R101" i="29"/>
  <c r="R101" i="34"/>
  <c r="R97" i="70"/>
  <c r="R97" i="68"/>
  <c r="R97" i="69"/>
  <c r="R97" i="63"/>
  <c r="R97" i="74"/>
  <c r="R97" i="71"/>
  <c r="R97" i="35"/>
  <c r="R97" i="72"/>
  <c r="R97" i="73"/>
  <c r="R97" i="30"/>
  <c r="R97" i="67"/>
  <c r="R97" i="66"/>
  <c r="R97" i="62"/>
  <c r="R97" i="64"/>
  <c r="R97" i="65"/>
  <c r="R97" i="61"/>
  <c r="R97" i="60"/>
  <c r="R97" i="77"/>
  <c r="R97" i="33"/>
  <c r="R97" i="32"/>
  <c r="R97" i="59"/>
  <c r="R97" i="28"/>
  <c r="R97" i="34"/>
  <c r="R93" i="70"/>
  <c r="R93" i="68"/>
  <c r="R93" i="69"/>
  <c r="R93" i="63"/>
  <c r="R93" i="35"/>
  <c r="R93" i="71"/>
  <c r="R93" i="73"/>
  <c r="R93" i="74"/>
  <c r="R93" i="72"/>
  <c r="R93" i="30"/>
  <c r="R93" i="67"/>
  <c r="R93" i="66"/>
  <c r="R93" i="33"/>
  <c r="R93" i="64"/>
  <c r="R93" i="62"/>
  <c r="R93" i="61"/>
  <c r="R93" i="65"/>
  <c r="R93" i="60"/>
  <c r="R93" i="77"/>
  <c r="R93" i="29"/>
  <c r="R93" i="32"/>
  <c r="R93" i="34"/>
  <c r="R89" i="70"/>
  <c r="R89" i="68"/>
  <c r="R89" i="69"/>
  <c r="R89" i="63"/>
  <c r="R89" i="35"/>
  <c r="R89" i="71"/>
  <c r="R89" i="72"/>
  <c r="R89" i="74"/>
  <c r="R89" i="73"/>
  <c r="R89" i="30"/>
  <c r="R89" i="67"/>
  <c r="R89" i="66"/>
  <c r="R89" i="64"/>
  <c r="R89" i="33"/>
  <c r="R89" i="61"/>
  <c r="R89" i="62"/>
  <c r="R89" i="60"/>
  <c r="R89" i="77"/>
  <c r="R89" i="59"/>
  <c r="R89" i="28"/>
  <c r="R89" i="65"/>
  <c r="R89" i="29"/>
  <c r="R89" i="34"/>
  <c r="R85" i="70"/>
  <c r="R85" i="68"/>
  <c r="R85" i="69"/>
  <c r="R85" i="63"/>
  <c r="R85" i="35"/>
  <c r="R85" i="71"/>
  <c r="R85" i="73"/>
  <c r="R85" i="74"/>
  <c r="R85" i="72"/>
  <c r="R85" i="30"/>
  <c r="R85" i="67"/>
  <c r="R85" i="66"/>
  <c r="R85" i="65"/>
  <c r="R85" i="64"/>
  <c r="R85" i="61"/>
  <c r="R85" i="33"/>
  <c r="R85" i="60"/>
  <c r="R85" i="77"/>
  <c r="R85" i="32"/>
  <c r="R85" i="59"/>
  <c r="R85" i="28"/>
  <c r="R85" i="29"/>
  <c r="R85" i="34"/>
  <c r="R81" i="70"/>
  <c r="R81" i="68"/>
  <c r="R81" i="69"/>
  <c r="R81" i="63"/>
  <c r="R81" i="74"/>
  <c r="R81" i="71"/>
  <c r="R81" i="72"/>
  <c r="R81" i="35"/>
  <c r="R81" i="73"/>
  <c r="R81" i="30"/>
  <c r="R81" i="67"/>
  <c r="R81" i="66"/>
  <c r="R81" i="62"/>
  <c r="R81" i="64"/>
  <c r="R81" i="65"/>
  <c r="R81" i="61"/>
  <c r="R81" i="60"/>
  <c r="R81" i="77"/>
  <c r="R81" i="33"/>
  <c r="R81" i="32"/>
  <c r="R81" i="59"/>
  <c r="R81" i="28"/>
  <c r="R81" i="34"/>
  <c r="R77" i="70"/>
  <c r="R77" i="68"/>
  <c r="R77" i="69"/>
  <c r="R77" i="63"/>
  <c r="R77" i="35"/>
  <c r="R77" i="71"/>
  <c r="R77" i="73"/>
  <c r="R77" i="74"/>
  <c r="R77" i="72"/>
  <c r="R77" i="30"/>
  <c r="R77" i="67"/>
  <c r="R77" i="66"/>
  <c r="R77" i="33"/>
  <c r="R77" i="64"/>
  <c r="R77" i="62"/>
  <c r="R77" i="61"/>
  <c r="R77" i="65"/>
  <c r="R77" i="60"/>
  <c r="R77" i="77"/>
  <c r="R77" i="29"/>
  <c r="R77" i="32"/>
  <c r="R77" i="34"/>
  <c r="R73" i="70"/>
  <c r="R73" i="68"/>
  <c r="R73" i="69"/>
  <c r="R73" i="63"/>
  <c r="R73" i="35"/>
  <c r="R73" i="71"/>
  <c r="R73" i="74"/>
  <c r="R73" i="72"/>
  <c r="R73" i="73"/>
  <c r="R73" i="30"/>
  <c r="R73" i="67"/>
  <c r="R73" i="66"/>
  <c r="R73" i="64"/>
  <c r="R73" i="33"/>
  <c r="R73" i="61"/>
  <c r="R73" i="62"/>
  <c r="R73" i="60"/>
  <c r="R73" i="77"/>
  <c r="R73" i="59"/>
  <c r="R73" i="28"/>
  <c r="R73" i="29"/>
  <c r="R73" i="65"/>
  <c r="R73" i="34"/>
  <c r="R69" i="70"/>
  <c r="R69" i="68"/>
  <c r="R69" i="69"/>
  <c r="R69" i="63"/>
  <c r="R69" i="35"/>
  <c r="R69" i="71"/>
  <c r="R69" i="72"/>
  <c r="R69" i="74"/>
  <c r="R69" i="73"/>
  <c r="R69" i="30"/>
  <c r="R69" i="67"/>
  <c r="R69" i="66"/>
  <c r="R69" i="65"/>
  <c r="R69" i="64"/>
  <c r="R69" i="61"/>
  <c r="R69" i="33"/>
  <c r="R69" i="60"/>
  <c r="R69" i="77"/>
  <c r="R69" i="62"/>
  <c r="R69" i="32"/>
  <c r="R69" i="59"/>
  <c r="R69" i="28"/>
  <c r="R69" i="29"/>
  <c r="R69" i="34"/>
  <c r="R65" i="70"/>
  <c r="R65" i="68"/>
  <c r="R65" i="69"/>
  <c r="R65" i="63"/>
  <c r="R65" i="74"/>
  <c r="R65" i="71"/>
  <c r="R65" i="35"/>
  <c r="R65" i="72"/>
  <c r="R65" i="73"/>
  <c r="R65" i="30"/>
  <c r="R65" i="67"/>
  <c r="R65" i="66"/>
  <c r="R65" i="62"/>
  <c r="R65" i="64"/>
  <c r="R65" i="65"/>
  <c r="R65" i="61"/>
  <c r="R65" i="60"/>
  <c r="R65" i="77"/>
  <c r="R65" i="32"/>
  <c r="R65" i="33"/>
  <c r="R65" i="59"/>
  <c r="R65" i="28"/>
  <c r="R65" i="34"/>
  <c r="R61" i="70"/>
  <c r="R61" i="68"/>
  <c r="R61" i="69"/>
  <c r="R61" i="63"/>
  <c r="R61" i="35"/>
  <c r="R61" i="71"/>
  <c r="R61" i="73"/>
  <c r="R61" i="74"/>
  <c r="R61" i="72"/>
  <c r="R61" i="30"/>
  <c r="R61" i="67"/>
  <c r="R61" i="66"/>
  <c r="R61" i="33"/>
  <c r="R61" i="64"/>
  <c r="R61" i="62"/>
  <c r="R61" i="61"/>
  <c r="R61" i="65"/>
  <c r="R61" i="60"/>
  <c r="R61" i="77"/>
  <c r="R61" i="29"/>
  <c r="R61" i="32"/>
  <c r="R61" i="34"/>
  <c r="R57" i="70"/>
  <c r="R57" i="68"/>
  <c r="R57" i="69"/>
  <c r="R57" i="63"/>
  <c r="R57" i="35"/>
  <c r="R57" i="71"/>
  <c r="R57" i="72"/>
  <c r="R57" i="73"/>
  <c r="R57" i="74"/>
  <c r="R57" i="30"/>
  <c r="R57" i="67"/>
  <c r="R57" i="66"/>
  <c r="R57" i="64"/>
  <c r="R57" i="33"/>
  <c r="R57" i="61"/>
  <c r="R57" i="62"/>
  <c r="R57" i="60"/>
  <c r="R57" i="77"/>
  <c r="R57" i="59"/>
  <c r="R57" i="28"/>
  <c r="R57" i="29"/>
  <c r="R57" i="34"/>
  <c r="R53" i="70"/>
  <c r="R53" i="68"/>
  <c r="R53" i="69"/>
  <c r="R53" i="63"/>
  <c r="R53" i="35"/>
  <c r="R53" i="71"/>
  <c r="R53" i="74"/>
  <c r="R53" i="72"/>
  <c r="R53" i="73"/>
  <c r="R53" i="30"/>
  <c r="R53" i="67"/>
  <c r="R53" i="66"/>
  <c r="R53" i="65"/>
  <c r="R53" i="64"/>
  <c r="R53" i="61"/>
  <c r="R53" i="33"/>
  <c r="R53" i="60"/>
  <c r="R53" i="77"/>
  <c r="R53" i="32"/>
  <c r="R53" i="62"/>
  <c r="R53" i="59"/>
  <c r="R53" i="28"/>
  <c r="R53" i="29"/>
  <c r="R53" i="34"/>
  <c r="R49" i="70"/>
  <c r="R49" i="68"/>
  <c r="R49" i="69"/>
  <c r="R49" i="63"/>
  <c r="R49" i="74"/>
  <c r="R49" i="71"/>
  <c r="R49" i="35"/>
  <c r="R49" i="72"/>
  <c r="R49" i="73"/>
  <c r="R49" i="30"/>
  <c r="R49" i="67"/>
  <c r="R49" i="66"/>
  <c r="R49" i="62"/>
  <c r="R49" i="64"/>
  <c r="R49" i="65"/>
  <c r="R49" i="61"/>
  <c r="R49" i="60"/>
  <c r="R49" i="77"/>
  <c r="R49" i="32"/>
  <c r="R49" i="59"/>
  <c r="R49" i="28"/>
  <c r="R49" i="34"/>
  <c r="R45" i="70"/>
  <c r="R45" i="68"/>
  <c r="R45" i="69"/>
  <c r="R45" i="63"/>
  <c r="R45" i="35"/>
  <c r="R45" i="71"/>
  <c r="R45" i="74"/>
  <c r="R45" i="73"/>
  <c r="R45" i="72"/>
  <c r="R45" i="30"/>
  <c r="R45" i="67"/>
  <c r="R45" i="66"/>
  <c r="R45" i="33"/>
  <c r="R45" i="64"/>
  <c r="R45" i="62"/>
  <c r="R45" i="61"/>
  <c r="R45" i="65"/>
  <c r="R45" i="60"/>
  <c r="R45" i="77"/>
  <c r="R45" i="29"/>
  <c r="R45" i="32"/>
  <c r="R45" i="34"/>
  <c r="R41" i="70"/>
  <c r="R41" i="68"/>
  <c r="R41" i="69"/>
  <c r="R41" i="63"/>
  <c r="R41" i="35"/>
  <c r="R41" i="71"/>
  <c r="R41" i="72"/>
  <c r="R41" i="73"/>
  <c r="R41" i="74"/>
  <c r="R41" i="30"/>
  <c r="R41" i="67"/>
  <c r="R41" i="66"/>
  <c r="R41" i="64"/>
  <c r="R41" i="33"/>
  <c r="R41" i="61"/>
  <c r="R41" i="62"/>
  <c r="R41" i="60"/>
  <c r="R41" i="77"/>
  <c r="R41" i="65"/>
  <c r="R41" i="59"/>
  <c r="R41" i="28"/>
  <c r="R41" i="29"/>
  <c r="R41" i="34"/>
  <c r="R37" i="70"/>
  <c r="R37" i="68"/>
  <c r="R37" i="69"/>
  <c r="R37" i="63"/>
  <c r="R37" i="35"/>
  <c r="R37" i="71"/>
  <c r="R37" i="74"/>
  <c r="R37" i="72"/>
  <c r="R37" i="73"/>
  <c r="R37" i="30"/>
  <c r="R37" i="67"/>
  <c r="R37" i="66"/>
  <c r="R37" i="64"/>
  <c r="R37" i="65"/>
  <c r="R37" i="61"/>
  <c r="R37" i="33"/>
  <c r="R37" i="60"/>
  <c r="R37" i="77"/>
  <c r="R37" i="32"/>
  <c r="R37" i="59"/>
  <c r="R37" i="28"/>
  <c r="R37" i="62"/>
  <c r="R37" i="29"/>
  <c r="R37" i="34"/>
  <c r="R33" i="70"/>
  <c r="R33" i="68"/>
  <c r="R33" i="69"/>
  <c r="R33" i="63"/>
  <c r="R33" i="35"/>
  <c r="R33" i="74"/>
  <c r="R33" i="71"/>
  <c r="R33" i="72"/>
  <c r="R33" i="73"/>
  <c r="R33" i="30"/>
  <c r="R33" i="67"/>
  <c r="R33" i="66"/>
  <c r="R33" i="64"/>
  <c r="R33" i="62"/>
  <c r="R33" i="61"/>
  <c r="R33" i="65"/>
  <c r="R33" i="60"/>
  <c r="R33" i="77"/>
  <c r="R33" i="33"/>
  <c r="R33" i="32"/>
  <c r="R33" i="59"/>
  <c r="R33" i="28"/>
  <c r="R33" i="34"/>
  <c r="R29" i="70"/>
  <c r="R29" i="68"/>
  <c r="R29" i="69"/>
  <c r="R29" i="63"/>
  <c r="R29" i="35"/>
  <c r="R29" i="71"/>
  <c r="R29" i="73"/>
  <c r="R29" i="74"/>
  <c r="R29" i="72"/>
  <c r="R29" i="30"/>
  <c r="R29" i="67"/>
  <c r="R29" i="66"/>
  <c r="R29" i="64"/>
  <c r="R29" i="65"/>
  <c r="R29" i="33"/>
  <c r="R29" i="62"/>
  <c r="R29" i="61"/>
  <c r="R29" i="60"/>
  <c r="R29" i="77"/>
  <c r="R29" i="29"/>
  <c r="R29" i="32"/>
  <c r="R29" i="34"/>
  <c r="R25" i="70"/>
  <c r="R25" i="68"/>
  <c r="R25" i="69"/>
  <c r="R25" i="63"/>
  <c r="R25" i="35"/>
  <c r="R25" i="74"/>
  <c r="R25" i="71"/>
  <c r="R25" i="72"/>
  <c r="R25" i="73"/>
  <c r="R25" i="30"/>
  <c r="R25" i="67"/>
  <c r="R25" i="66"/>
  <c r="R25" i="64"/>
  <c r="R25" i="33"/>
  <c r="R25" i="61"/>
  <c r="R25" i="65"/>
  <c r="R25" i="62"/>
  <c r="R25" i="60"/>
  <c r="R25" i="77"/>
  <c r="R25" i="59"/>
  <c r="R25" i="28"/>
  <c r="R25" i="29"/>
  <c r="R25" i="34"/>
  <c r="R21" i="70"/>
  <c r="R21" i="68"/>
  <c r="R21" i="69"/>
  <c r="R21" i="63"/>
  <c r="R21" i="35"/>
  <c r="R21" i="71"/>
  <c r="R21" i="74"/>
  <c r="R21" i="73"/>
  <c r="R21" i="72"/>
  <c r="R21" i="30"/>
  <c r="R21" i="67"/>
  <c r="R21" i="66"/>
  <c r="R21" i="64"/>
  <c r="R21" i="65"/>
  <c r="R21" i="61"/>
  <c r="R21" i="33"/>
  <c r="R21" i="60"/>
  <c r="R21" i="77"/>
  <c r="R21" i="32"/>
  <c r="R21" i="59"/>
  <c r="R21" i="28"/>
  <c r="R21" i="29"/>
  <c r="R21" i="34"/>
  <c r="R17" i="70"/>
  <c r="R17" i="68"/>
  <c r="R17" i="69"/>
  <c r="R17" i="63"/>
  <c r="R17" i="35"/>
  <c r="R17" i="74"/>
  <c r="R17" i="71"/>
  <c r="R17" i="72"/>
  <c r="R17" i="73"/>
  <c r="R17" i="30"/>
  <c r="R17" i="67"/>
  <c r="R17" i="66"/>
  <c r="R17" i="64"/>
  <c r="R17" i="62"/>
  <c r="R17" i="61"/>
  <c r="R17" i="65"/>
  <c r="R17" i="60"/>
  <c r="R17" i="77"/>
  <c r="R17" i="33"/>
  <c r="R17" i="32"/>
  <c r="R17" i="59"/>
  <c r="R17" i="28"/>
  <c r="R17" i="34"/>
  <c r="R13" i="70"/>
  <c r="R13" i="68"/>
  <c r="R13" i="69"/>
  <c r="R13" i="63"/>
  <c r="R13" i="35"/>
  <c r="R13" i="71"/>
  <c r="R13" i="73"/>
  <c r="R13" i="74"/>
  <c r="R13" i="72"/>
  <c r="R13" i="30"/>
  <c r="R13" i="67"/>
  <c r="R13" i="66"/>
  <c r="R13" i="64"/>
  <c r="R13" i="65"/>
  <c r="R13" i="33"/>
  <c r="R13" i="62"/>
  <c r="R13" i="61"/>
  <c r="R13" i="60"/>
  <c r="R13" i="77"/>
  <c r="R13" i="29"/>
  <c r="R13" i="32"/>
  <c r="R13" i="34"/>
  <c r="R9" i="70"/>
  <c r="R9" i="68"/>
  <c r="R9" i="69"/>
  <c r="R9" i="63"/>
  <c r="R9" i="35"/>
  <c r="R9" i="74"/>
  <c r="R9" i="71"/>
  <c r="R9" i="72"/>
  <c r="R9" i="73"/>
  <c r="R9" i="30"/>
  <c r="R9" i="67"/>
  <c r="R9" i="66"/>
  <c r="R9" i="64"/>
  <c r="R9" i="33"/>
  <c r="R9" i="61"/>
  <c r="R9" i="65"/>
  <c r="R9" i="62"/>
  <c r="R9" i="60"/>
  <c r="R9" i="77"/>
  <c r="R9" i="59"/>
  <c r="R9" i="28"/>
  <c r="R9" i="29"/>
  <c r="R9" i="34"/>
  <c r="R5" i="70"/>
  <c r="R5" i="68"/>
  <c r="R5" i="69"/>
  <c r="R5" i="63"/>
  <c r="R5" i="35"/>
  <c r="R5" i="71"/>
  <c r="R5" i="74"/>
  <c r="R5" i="73"/>
  <c r="R5" i="72"/>
  <c r="R5" i="30"/>
  <c r="R5" i="67"/>
  <c r="R5" i="66"/>
  <c r="R5" i="64"/>
  <c r="R5" i="65"/>
  <c r="R5" i="61"/>
  <c r="R5" i="33"/>
  <c r="R5" i="60"/>
  <c r="R5" i="77"/>
  <c r="R5" i="62"/>
  <c r="R5" i="32"/>
  <c r="R5" i="59"/>
  <c r="R5" i="28"/>
  <c r="R5" i="29"/>
  <c r="R5" i="34"/>
  <c r="R120" i="34"/>
  <c r="R110" i="34"/>
  <c r="R104" i="34"/>
  <c r="R94" i="34"/>
  <c r="R88" i="34"/>
  <c r="R78" i="34"/>
  <c r="R72" i="34"/>
  <c r="R62" i="34"/>
  <c r="R56" i="34"/>
  <c r="R46" i="34"/>
  <c r="R40" i="34"/>
  <c r="R30" i="34"/>
  <c r="R24" i="34"/>
  <c r="R14" i="34"/>
  <c r="R124" i="75"/>
  <c r="R119" i="75"/>
  <c r="R113" i="75"/>
  <c r="R108" i="75"/>
  <c r="R103" i="75"/>
  <c r="R97" i="75"/>
  <c r="R92" i="75"/>
  <c r="R81" i="75"/>
  <c r="R76" i="75"/>
  <c r="R65" i="75"/>
  <c r="R60" i="75"/>
  <c r="R49" i="75"/>
  <c r="R44" i="75"/>
  <c r="R33" i="75"/>
  <c r="R28" i="75"/>
  <c r="R17" i="75"/>
  <c r="R12" i="75"/>
  <c r="R122" i="31"/>
  <c r="R117" i="31"/>
  <c r="R112" i="31"/>
  <c r="R106" i="31"/>
  <c r="R101" i="31"/>
  <c r="R96" i="31"/>
  <c r="R90" i="31"/>
  <c r="R85" i="31"/>
  <c r="R80" i="31"/>
  <c r="R74" i="31"/>
  <c r="R69" i="31"/>
  <c r="R64" i="31"/>
  <c r="R58" i="31"/>
  <c r="R53" i="31"/>
  <c r="R48" i="31"/>
  <c r="R42" i="31"/>
  <c r="R37" i="31"/>
  <c r="R32" i="31"/>
  <c r="R26" i="31"/>
  <c r="R21" i="31"/>
  <c r="R16" i="31"/>
  <c r="R10" i="31"/>
  <c r="R5" i="31"/>
  <c r="R121" i="76"/>
  <c r="R115" i="76"/>
  <c r="R110" i="76"/>
  <c r="R105" i="76"/>
  <c r="R99" i="76"/>
  <c r="R91" i="76"/>
  <c r="R83" i="76"/>
  <c r="R75" i="76"/>
  <c r="R67" i="76"/>
  <c r="R59" i="76"/>
  <c r="R51" i="76"/>
  <c r="R43" i="76"/>
  <c r="R35" i="76"/>
  <c r="R27" i="76"/>
  <c r="R19" i="76"/>
  <c r="R9" i="76"/>
  <c r="R114" i="28"/>
  <c r="R93" i="28"/>
  <c r="R71" i="28"/>
  <c r="R50" i="28"/>
  <c r="R29" i="28"/>
  <c r="R7" i="28"/>
  <c r="R107" i="77"/>
  <c r="R86" i="77"/>
  <c r="R64" i="77"/>
  <c r="R43" i="77"/>
  <c r="R22" i="77"/>
  <c r="R121" i="32"/>
  <c r="R100" i="32"/>
  <c r="R79" i="32"/>
  <c r="R57" i="32"/>
  <c r="R36" i="32"/>
  <c r="R15" i="32"/>
  <c r="R114" i="59"/>
  <c r="R93" i="59"/>
  <c r="R72" i="59"/>
  <c r="R50" i="59"/>
  <c r="R29" i="59"/>
  <c r="R107" i="29"/>
  <c r="R86" i="29"/>
  <c r="R65" i="29"/>
  <c r="R43" i="29"/>
  <c r="R22" i="29"/>
  <c r="R122" i="60"/>
  <c r="R100" i="60"/>
  <c r="R74" i="60"/>
  <c r="R42" i="60"/>
  <c r="R123" i="61"/>
  <c r="R59" i="61"/>
  <c r="R116" i="64"/>
  <c r="R52" i="64"/>
  <c r="R92" i="33"/>
  <c r="R7" i="33"/>
  <c r="R42" i="62"/>
  <c r="R78" i="65"/>
  <c r="R82" i="66"/>
  <c r="R68" i="30"/>
  <c r="R8" i="69"/>
  <c r="R8" i="70"/>
  <c r="R8" i="68"/>
  <c r="R8" i="35"/>
  <c r="R8" i="63"/>
  <c r="R8" i="73"/>
  <c r="R8" i="74"/>
  <c r="R8" i="71"/>
  <c r="R8" i="72"/>
  <c r="R8" i="67"/>
  <c r="R8" i="66"/>
  <c r="R8" i="65"/>
  <c r="R8" i="30"/>
  <c r="R8" i="33"/>
  <c r="R8" i="61"/>
  <c r="R8" i="62"/>
  <c r="R8" i="60"/>
  <c r="R8" i="29"/>
  <c r="R8" i="28"/>
  <c r="R8" i="76"/>
  <c r="R8" i="32"/>
  <c r="R8" i="64"/>
  <c r="R8" i="77"/>
  <c r="N9" i="1"/>
  <c r="N10" i="1" s="1"/>
  <c r="N11" i="1" s="1"/>
  <c r="N12" i="1" s="1"/>
  <c r="N13" i="1" s="1"/>
  <c r="N14" i="1" s="1"/>
  <c r="N15" i="1" s="1"/>
  <c r="N16" i="1" s="1"/>
  <c r="N17" i="1" s="1"/>
  <c r="N18" i="1" s="1"/>
  <c r="N19" i="1" s="1"/>
  <c r="N20" i="1" s="1"/>
  <c r="N21" i="1" s="1"/>
  <c r="N22" i="1" s="1"/>
  <c r="N23" i="1" s="1"/>
  <c r="N24" i="1" s="1"/>
  <c r="N25" i="1" s="1"/>
  <c r="N26" i="1" s="1"/>
  <c r="N27" i="1" s="1"/>
  <c r="N28" i="1" s="1"/>
  <c r="N29" i="1" s="1"/>
  <c r="N30" i="1" s="1"/>
  <c r="N31" i="1" s="1"/>
  <c r="N32" i="1" s="1"/>
  <c r="N33" i="1" s="1"/>
  <c r="N34" i="1" s="1"/>
  <c r="N35" i="1" s="1"/>
  <c r="I9" i="1"/>
  <c r="B9" i="1"/>
  <c r="E9" i="1" s="1"/>
  <c r="I10" i="1" l="1"/>
  <c r="I11" i="1" s="1"/>
  <c r="I12" i="1" s="1"/>
  <c r="D38" i="1" l="1"/>
  <c r="D37" i="1"/>
  <c r="D36" i="1"/>
  <c r="D35" i="1"/>
  <c r="D34" i="1"/>
  <c r="A34" i="26" l="1"/>
  <c r="C34" i="26" s="1"/>
  <c r="C33" i="26"/>
  <c r="A33" i="26"/>
  <c r="A32" i="26"/>
  <c r="C32" i="26" s="1"/>
  <c r="C31" i="26"/>
  <c r="A31" i="26"/>
  <c r="A30" i="26"/>
  <c r="C30" i="26" s="1"/>
  <c r="A29" i="26"/>
  <c r="C29" i="26" s="1"/>
  <c r="A28" i="26"/>
  <c r="C28" i="26" s="1"/>
  <c r="A27" i="26"/>
  <c r="C27" i="26" s="1"/>
  <c r="A26" i="26"/>
  <c r="C26" i="26" s="1"/>
  <c r="C25" i="26"/>
  <c r="A25" i="26"/>
  <c r="A24" i="26"/>
  <c r="C24" i="26" s="1"/>
  <c r="C23" i="26"/>
  <c r="A23" i="26"/>
  <c r="A22" i="26"/>
  <c r="C22" i="26" s="1"/>
  <c r="A21" i="26"/>
  <c r="C21" i="26" s="1"/>
  <c r="D21" i="26" s="1"/>
  <c r="A20" i="26"/>
  <c r="C20" i="26" s="1"/>
  <c r="A19" i="26"/>
  <c r="C19" i="26" s="1"/>
  <c r="D19" i="26" s="1"/>
  <c r="A18" i="26"/>
  <c r="C18" i="26" s="1"/>
  <c r="C17" i="26"/>
  <c r="D17" i="26" s="1"/>
  <c r="A17" i="26"/>
  <c r="A16" i="26"/>
  <c r="C16" i="26" s="1"/>
  <c r="A15" i="26"/>
  <c r="C15" i="26" s="1"/>
  <c r="D15" i="26" s="1"/>
  <c r="A14" i="26"/>
  <c r="C14" i="26" s="1"/>
  <c r="A13" i="26"/>
  <c r="C13" i="26" s="1"/>
  <c r="D13" i="26" s="1"/>
  <c r="A12" i="26"/>
  <c r="C12" i="26" s="1"/>
  <c r="A11" i="26"/>
  <c r="C11" i="26" s="1"/>
  <c r="D11" i="26" s="1"/>
  <c r="A10" i="26"/>
  <c r="C10" i="26" s="1"/>
  <c r="A9" i="26"/>
  <c r="C9" i="26" s="1"/>
  <c r="A8" i="26"/>
  <c r="C8" i="26" s="1"/>
  <c r="A7" i="26"/>
  <c r="C7" i="26" s="1"/>
  <c r="F7" i="26" s="1"/>
  <c r="A6" i="26"/>
  <c r="C6" i="26" s="1"/>
  <c r="D6" i="26" s="1"/>
  <c r="A5" i="26"/>
  <c r="C5" i="26" s="1"/>
  <c r="F5" i="26" s="1"/>
  <c r="G5" i="26" s="1"/>
  <c r="A70" i="82"/>
  <c r="C70" i="82" s="1"/>
  <c r="D70" i="82" s="1"/>
  <c r="A69" i="82"/>
  <c r="C69" i="82" s="1"/>
  <c r="D69" i="82" s="1"/>
  <c r="A68" i="82"/>
  <c r="C68" i="82" s="1"/>
  <c r="D68" i="82" s="1"/>
  <c r="A67" i="82"/>
  <c r="C67" i="82" s="1"/>
  <c r="D67" i="82" s="1"/>
  <c r="A66" i="82"/>
  <c r="C66" i="82" s="1"/>
  <c r="D66" i="82" s="1"/>
  <c r="A65" i="82"/>
  <c r="C65" i="82" s="1"/>
  <c r="D65" i="82" s="1"/>
  <c r="A64" i="82"/>
  <c r="C64" i="82" s="1"/>
  <c r="D64" i="82" s="1"/>
  <c r="A63" i="82"/>
  <c r="C63" i="82" s="1"/>
  <c r="D63" i="82" s="1"/>
  <c r="A62" i="82"/>
  <c r="C62" i="82" s="1"/>
  <c r="D62" i="82" s="1"/>
  <c r="A61" i="82"/>
  <c r="C61" i="82" s="1"/>
  <c r="D61" i="82" s="1"/>
  <c r="A60" i="82"/>
  <c r="C60" i="82" s="1"/>
  <c r="D60" i="82" s="1"/>
  <c r="A59" i="82"/>
  <c r="C59" i="82" s="1"/>
  <c r="D59" i="82" s="1"/>
  <c r="A58" i="82"/>
  <c r="C58" i="82" s="1"/>
  <c r="D58" i="82" s="1"/>
  <c r="A57" i="82"/>
  <c r="C57" i="82" s="1"/>
  <c r="D57" i="82" s="1"/>
  <c r="A56" i="82"/>
  <c r="C56" i="82" s="1"/>
  <c r="D56" i="82" s="1"/>
  <c r="A55" i="82"/>
  <c r="C55" i="82" s="1"/>
  <c r="D55" i="82" s="1"/>
  <c r="A54" i="82"/>
  <c r="C54" i="82" s="1"/>
  <c r="D54" i="82" s="1"/>
  <c r="A53" i="82"/>
  <c r="C53" i="82" s="1"/>
  <c r="D53" i="82" s="1"/>
  <c r="A52" i="82"/>
  <c r="C52" i="82" s="1"/>
  <c r="D52" i="82" s="1"/>
  <c r="A51" i="82"/>
  <c r="C51" i="82" s="1"/>
  <c r="D51" i="82" s="1"/>
  <c r="A50" i="82"/>
  <c r="C50" i="82" s="1"/>
  <c r="D50" i="82" s="1"/>
  <c r="A49" i="82"/>
  <c r="C49" i="82" s="1"/>
  <c r="F49" i="82" s="1"/>
  <c r="A48" i="82"/>
  <c r="C48" i="82" s="1"/>
  <c r="F48" i="82" s="1"/>
  <c r="A47" i="82"/>
  <c r="C47" i="82" s="1"/>
  <c r="D47" i="82" s="1"/>
  <c r="A46" i="82"/>
  <c r="C46" i="82" s="1"/>
  <c r="F46" i="82" s="1"/>
  <c r="A45" i="82"/>
  <c r="C45" i="82" s="1"/>
  <c r="F45" i="82" s="1"/>
  <c r="A44" i="82"/>
  <c r="C44" i="82" s="1"/>
  <c r="F44" i="82" s="1"/>
  <c r="A43" i="82"/>
  <c r="C43" i="82" s="1"/>
  <c r="D43" i="82" s="1"/>
  <c r="A42" i="82"/>
  <c r="C42" i="82" s="1"/>
  <c r="F42" i="82" s="1"/>
  <c r="A41" i="82"/>
  <c r="C41" i="82" s="1"/>
  <c r="F41" i="82" s="1"/>
  <c r="A40" i="82"/>
  <c r="C40" i="82" s="1"/>
  <c r="F40" i="82" s="1"/>
  <c r="A39" i="82"/>
  <c r="C39" i="82" s="1"/>
  <c r="D39" i="82" s="1"/>
  <c r="A38" i="82"/>
  <c r="C38" i="82" s="1"/>
  <c r="F38" i="82" s="1"/>
  <c r="A37" i="82"/>
  <c r="C37" i="82" s="1"/>
  <c r="F37" i="82" s="1"/>
  <c r="A36" i="82"/>
  <c r="C36" i="82" s="1"/>
  <c r="F36" i="82" s="1"/>
  <c r="A35" i="82"/>
  <c r="C35" i="82" s="1"/>
  <c r="D35" i="82" s="1"/>
  <c r="A34" i="82"/>
  <c r="C34" i="82" s="1"/>
  <c r="F34" i="82" s="1"/>
  <c r="A33" i="82"/>
  <c r="C33" i="82" s="1"/>
  <c r="F33" i="82" s="1"/>
  <c r="A32" i="82"/>
  <c r="C32" i="82" s="1"/>
  <c r="F32" i="82" s="1"/>
  <c r="A31" i="82"/>
  <c r="C31" i="82" s="1"/>
  <c r="D31" i="82" s="1"/>
  <c r="A30" i="82"/>
  <c r="C30" i="82" s="1"/>
  <c r="D30" i="82" s="1"/>
  <c r="A29" i="82"/>
  <c r="C29" i="82" s="1"/>
  <c r="D29" i="82" s="1"/>
  <c r="A28" i="82"/>
  <c r="C28" i="82" s="1"/>
  <c r="D28" i="82" s="1"/>
  <c r="A27" i="82"/>
  <c r="C27" i="82" s="1"/>
  <c r="A26" i="82"/>
  <c r="C26" i="82" s="1"/>
  <c r="A25" i="82"/>
  <c r="C25" i="82" s="1"/>
  <c r="A24" i="82"/>
  <c r="C24" i="82" s="1"/>
  <c r="A23" i="82"/>
  <c r="C23" i="82" s="1"/>
  <c r="C22" i="82"/>
  <c r="A22" i="82"/>
  <c r="A21" i="82"/>
  <c r="C21" i="82" s="1"/>
  <c r="A20" i="82"/>
  <c r="C20" i="82" s="1"/>
  <c r="A19" i="82"/>
  <c r="C19" i="82" s="1"/>
  <c r="A18" i="82"/>
  <c r="C18" i="82" s="1"/>
  <c r="A17" i="82"/>
  <c r="C17" i="82" s="1"/>
  <c r="A16" i="82"/>
  <c r="C16" i="82" s="1"/>
  <c r="A15" i="82"/>
  <c r="C15" i="82" s="1"/>
  <c r="C14" i="82"/>
  <c r="A14" i="82"/>
  <c r="A13" i="82"/>
  <c r="C13" i="82" s="1"/>
  <c r="A12" i="82"/>
  <c r="C12" i="82" s="1"/>
  <c r="A11" i="82"/>
  <c r="C11" i="82" s="1"/>
  <c r="A10" i="82"/>
  <c r="C10" i="82" s="1"/>
  <c r="A9" i="82"/>
  <c r="C9" i="82" s="1"/>
  <c r="A8" i="82"/>
  <c r="C8" i="82" s="1"/>
  <c r="A7" i="82"/>
  <c r="C7" i="82" s="1"/>
  <c r="C6" i="82"/>
  <c r="A6" i="82"/>
  <c r="A5" i="82"/>
  <c r="C5" i="82" s="1"/>
  <c r="A70" i="81"/>
  <c r="C70" i="81" s="1"/>
  <c r="D70" i="81" s="1"/>
  <c r="A69" i="81"/>
  <c r="C69" i="81" s="1"/>
  <c r="D69" i="81" s="1"/>
  <c r="A68" i="81"/>
  <c r="C68" i="81" s="1"/>
  <c r="D68" i="81" s="1"/>
  <c r="A67" i="81"/>
  <c r="C67" i="81" s="1"/>
  <c r="D67" i="81" s="1"/>
  <c r="A66" i="81"/>
  <c r="C66" i="81" s="1"/>
  <c r="D66" i="81" s="1"/>
  <c r="A65" i="81"/>
  <c r="C65" i="81" s="1"/>
  <c r="D65" i="81" s="1"/>
  <c r="A64" i="81"/>
  <c r="C64" i="81" s="1"/>
  <c r="D64" i="81" s="1"/>
  <c r="A63" i="81"/>
  <c r="C63" i="81" s="1"/>
  <c r="D63" i="81" s="1"/>
  <c r="A62" i="81"/>
  <c r="C62" i="81" s="1"/>
  <c r="D62" i="81" s="1"/>
  <c r="A61" i="81"/>
  <c r="C61" i="81" s="1"/>
  <c r="D61" i="81" s="1"/>
  <c r="A60" i="81"/>
  <c r="C60" i="81" s="1"/>
  <c r="D60" i="81" s="1"/>
  <c r="A59" i="81"/>
  <c r="C59" i="81" s="1"/>
  <c r="D59" i="81" s="1"/>
  <c r="A58" i="81"/>
  <c r="C58" i="81" s="1"/>
  <c r="D58" i="81" s="1"/>
  <c r="A57" i="81"/>
  <c r="C57" i="81" s="1"/>
  <c r="D57" i="81" s="1"/>
  <c r="A56" i="81"/>
  <c r="C56" i="81" s="1"/>
  <c r="D56" i="81" s="1"/>
  <c r="A55" i="81"/>
  <c r="C55" i="81" s="1"/>
  <c r="D55" i="81" s="1"/>
  <c r="A54" i="81"/>
  <c r="C54" i="81" s="1"/>
  <c r="F54" i="81" s="1"/>
  <c r="A53" i="81"/>
  <c r="C53" i="81" s="1"/>
  <c r="D53" i="81" s="1"/>
  <c r="A52" i="81"/>
  <c r="C52" i="81" s="1"/>
  <c r="F52" i="81" s="1"/>
  <c r="A51" i="81"/>
  <c r="C51" i="81" s="1"/>
  <c r="D51" i="81" s="1"/>
  <c r="A50" i="81"/>
  <c r="C50" i="81" s="1"/>
  <c r="F50" i="81" s="1"/>
  <c r="A49" i="81"/>
  <c r="C49" i="81" s="1"/>
  <c r="F49" i="81" s="1"/>
  <c r="A48" i="81"/>
  <c r="C48" i="81" s="1"/>
  <c r="F48" i="81" s="1"/>
  <c r="A47" i="81"/>
  <c r="C47" i="81" s="1"/>
  <c r="F47" i="81" s="1"/>
  <c r="A46" i="81"/>
  <c r="C46" i="81" s="1"/>
  <c r="F46" i="81" s="1"/>
  <c r="A45" i="81"/>
  <c r="C45" i="81" s="1"/>
  <c r="F45" i="81" s="1"/>
  <c r="A44" i="81"/>
  <c r="C44" i="81" s="1"/>
  <c r="F44" i="81" s="1"/>
  <c r="A43" i="81"/>
  <c r="C43" i="81" s="1"/>
  <c r="F43" i="81" s="1"/>
  <c r="A42" i="81"/>
  <c r="C42" i="81" s="1"/>
  <c r="F42" i="81" s="1"/>
  <c r="A41" i="81"/>
  <c r="C41" i="81" s="1"/>
  <c r="F41" i="81" s="1"/>
  <c r="A40" i="81"/>
  <c r="C40" i="81" s="1"/>
  <c r="F40" i="81" s="1"/>
  <c r="A39" i="81"/>
  <c r="C39" i="81" s="1"/>
  <c r="A38" i="81"/>
  <c r="C38" i="81" s="1"/>
  <c r="D38" i="81" s="1"/>
  <c r="A37" i="81"/>
  <c r="C37" i="81" s="1"/>
  <c r="A36" i="81"/>
  <c r="C36" i="81" s="1"/>
  <c r="D36" i="81" s="1"/>
  <c r="A35" i="81"/>
  <c r="C35" i="81" s="1"/>
  <c r="D35" i="81" s="1"/>
  <c r="A34" i="81"/>
  <c r="C34" i="81" s="1"/>
  <c r="A33" i="81"/>
  <c r="C33" i="81" s="1"/>
  <c r="A32" i="81"/>
  <c r="C32" i="81" s="1"/>
  <c r="F32" i="81" s="1"/>
  <c r="A31" i="81"/>
  <c r="C31" i="81" s="1"/>
  <c r="F31" i="81" s="1"/>
  <c r="A30" i="81"/>
  <c r="C30" i="81" s="1"/>
  <c r="D30" i="81" s="1"/>
  <c r="A29" i="81"/>
  <c r="C29" i="81" s="1"/>
  <c r="C28" i="81"/>
  <c r="D28" i="81" s="1"/>
  <c r="A28" i="81"/>
  <c r="A27" i="81"/>
  <c r="C27" i="81" s="1"/>
  <c r="F27" i="81" s="1"/>
  <c r="A26" i="81"/>
  <c r="C26" i="81" s="1"/>
  <c r="A25" i="81"/>
  <c r="C25" i="81" s="1"/>
  <c r="A24" i="81"/>
  <c r="C24" i="81" s="1"/>
  <c r="F24" i="81" s="1"/>
  <c r="A23" i="81"/>
  <c r="C23" i="81" s="1"/>
  <c r="F23" i="81" s="1"/>
  <c r="A22" i="81"/>
  <c r="C22" i="81" s="1"/>
  <c r="D22" i="81" s="1"/>
  <c r="A21" i="81"/>
  <c r="C21" i="81" s="1"/>
  <c r="C20" i="81"/>
  <c r="D20" i="81" s="1"/>
  <c r="A20" i="81"/>
  <c r="A19" i="81"/>
  <c r="C19" i="81" s="1"/>
  <c r="A18" i="81"/>
  <c r="C18" i="81" s="1"/>
  <c r="C17" i="81"/>
  <c r="F17" i="81" s="1"/>
  <c r="A17" i="81"/>
  <c r="A16" i="81"/>
  <c r="C16" i="81" s="1"/>
  <c r="A15" i="81"/>
  <c r="C15" i="81" s="1"/>
  <c r="A14" i="81"/>
  <c r="C14" i="81" s="1"/>
  <c r="A13" i="81"/>
  <c r="C13" i="81" s="1"/>
  <c r="F13" i="81" s="1"/>
  <c r="A12" i="81"/>
  <c r="C12" i="81" s="1"/>
  <c r="A11" i="81"/>
  <c r="C11" i="81" s="1"/>
  <c r="A10" i="81"/>
  <c r="C10" i="81" s="1"/>
  <c r="D10" i="81" s="1"/>
  <c r="A9" i="81"/>
  <c r="C9" i="81" s="1"/>
  <c r="A8" i="81"/>
  <c r="C8" i="81" s="1"/>
  <c r="D8" i="81" s="1"/>
  <c r="A7" i="81"/>
  <c r="C7" i="81" s="1"/>
  <c r="A6" i="81"/>
  <c r="C6" i="81" s="1"/>
  <c r="D6" i="81" s="1"/>
  <c r="A5" i="81"/>
  <c r="C5" i="81" s="1"/>
  <c r="D79" i="80"/>
  <c r="D78" i="80"/>
  <c r="D77" i="80"/>
  <c r="D76" i="80"/>
  <c r="D75" i="80"/>
  <c r="D74" i="80"/>
  <c r="D73" i="80"/>
  <c r="D72" i="80"/>
  <c r="D71" i="80"/>
  <c r="D70" i="80"/>
  <c r="D69" i="80"/>
  <c r="D68" i="80"/>
  <c r="D67" i="80"/>
  <c r="D66" i="80"/>
  <c r="D65" i="80"/>
  <c r="D64" i="80"/>
  <c r="D63" i="80"/>
  <c r="D62" i="80"/>
  <c r="D61" i="80"/>
  <c r="D60" i="80"/>
  <c r="D59" i="80"/>
  <c r="D58" i="80"/>
  <c r="D57" i="80"/>
  <c r="D56" i="80"/>
  <c r="D55" i="80"/>
  <c r="D54" i="80"/>
  <c r="D53" i="80"/>
  <c r="D52" i="80"/>
  <c r="D51" i="80"/>
  <c r="D50" i="80"/>
  <c r="D49" i="80"/>
  <c r="D48" i="80"/>
  <c r="D47" i="80"/>
  <c r="D46" i="80"/>
  <c r="D45" i="80"/>
  <c r="D44" i="80"/>
  <c r="D43" i="80"/>
  <c r="D42" i="80"/>
  <c r="D41" i="80"/>
  <c r="D40" i="80"/>
  <c r="D39" i="80"/>
  <c r="D38" i="80"/>
  <c r="D37" i="80"/>
  <c r="D36" i="80"/>
  <c r="D35" i="80"/>
  <c r="D34" i="80"/>
  <c r="D33" i="80"/>
  <c r="D32" i="80"/>
  <c r="D31" i="80"/>
  <c r="D30" i="80"/>
  <c r="F30" i="80" s="1"/>
  <c r="D29" i="80"/>
  <c r="D28" i="80"/>
  <c r="D27" i="80"/>
  <c r="D26" i="80"/>
  <c r="D25" i="80"/>
  <c r="D24" i="80"/>
  <c r="D23" i="80"/>
  <c r="D22" i="80"/>
  <c r="D21" i="80"/>
  <c r="D20" i="80"/>
  <c r="D19" i="80"/>
  <c r="D18" i="80"/>
  <c r="D17" i="80"/>
  <c r="D16" i="80"/>
  <c r="D15" i="80"/>
  <c r="D14" i="80"/>
  <c r="D13" i="80"/>
  <c r="D12" i="80"/>
  <c r="D11" i="80"/>
  <c r="D10" i="80"/>
  <c r="D9" i="80"/>
  <c r="D8" i="80"/>
  <c r="D7" i="80"/>
  <c r="D6" i="80"/>
  <c r="D5" i="80"/>
  <c r="E5" i="80" s="1"/>
  <c r="D36" i="82" l="1"/>
  <c r="K36" i="82" s="1"/>
  <c r="F8" i="81"/>
  <c r="H8" i="81" s="1"/>
  <c r="D34" i="82"/>
  <c r="H34" i="82" s="1"/>
  <c r="D5" i="26"/>
  <c r="E5" i="26" s="1"/>
  <c r="E6" i="26" s="1"/>
  <c r="E7" i="26" s="1"/>
  <c r="F10" i="81"/>
  <c r="H10" i="81" s="1"/>
  <c r="D42" i="82"/>
  <c r="H42" i="82" s="1"/>
  <c r="F65" i="82"/>
  <c r="H65" i="82" s="1"/>
  <c r="F6" i="81"/>
  <c r="D44" i="82"/>
  <c r="H44" i="82" s="1"/>
  <c r="F56" i="82"/>
  <c r="D7" i="26"/>
  <c r="H7" i="26" s="1"/>
  <c r="F10" i="26"/>
  <c r="D10" i="26"/>
  <c r="K10" i="26" s="1"/>
  <c r="F35" i="82"/>
  <c r="F57" i="82"/>
  <c r="H57" i="82" s="1"/>
  <c r="F64" i="82"/>
  <c r="F6" i="26"/>
  <c r="G6" i="26" s="1"/>
  <c r="G7" i="26" s="1"/>
  <c r="F35" i="81"/>
  <c r="H35" i="81" s="1"/>
  <c r="F64" i="81"/>
  <c r="F43" i="82"/>
  <c r="H43" i="82" s="1"/>
  <c r="K6" i="81"/>
  <c r="K8" i="81"/>
  <c r="K10" i="81"/>
  <c r="K30" i="81"/>
  <c r="K38" i="81"/>
  <c r="F31" i="82"/>
  <c r="H31" i="82" s="1"/>
  <c r="D38" i="82"/>
  <c r="K38" i="82" s="1"/>
  <c r="D40" i="82"/>
  <c r="K40" i="82" s="1"/>
  <c r="F47" i="82"/>
  <c r="H47" i="82" s="1"/>
  <c r="F52" i="82"/>
  <c r="F60" i="82"/>
  <c r="H60" i="82" s="1"/>
  <c r="F68" i="82"/>
  <c r="H68" i="82" s="1"/>
  <c r="D32" i="82"/>
  <c r="K32" i="82" s="1"/>
  <c r="F39" i="82"/>
  <c r="H39" i="82" s="1"/>
  <c r="D46" i="82"/>
  <c r="K46" i="82" s="1"/>
  <c r="D48" i="82"/>
  <c r="K48" i="82" s="1"/>
  <c r="F51" i="82"/>
  <c r="H51" i="82" s="1"/>
  <c r="F59" i="82"/>
  <c r="H59" i="82" s="1"/>
  <c r="F67" i="82"/>
  <c r="H67" i="82" s="1"/>
  <c r="D27" i="81"/>
  <c r="H27" i="81" s="1"/>
  <c r="F28" i="81"/>
  <c r="H28" i="81" s="1"/>
  <c r="D44" i="81"/>
  <c r="K44" i="81" s="1"/>
  <c r="F62" i="81"/>
  <c r="H62" i="81" s="1"/>
  <c r="F70" i="81"/>
  <c r="H70" i="81" s="1"/>
  <c r="F60" i="81"/>
  <c r="H60" i="81" s="1"/>
  <c r="F68" i="81"/>
  <c r="H68" i="81" s="1"/>
  <c r="F20" i="81"/>
  <c r="H20" i="81" s="1"/>
  <c r="F36" i="81"/>
  <c r="H36" i="81" s="1"/>
  <c r="F66" i="81"/>
  <c r="H66" i="81" s="1"/>
  <c r="K6" i="26"/>
  <c r="F8" i="26"/>
  <c r="D8" i="26"/>
  <c r="D9" i="26"/>
  <c r="F9" i="26"/>
  <c r="F11" i="26"/>
  <c r="H11" i="26" s="1"/>
  <c r="F13" i="26"/>
  <c r="H13" i="26" s="1"/>
  <c r="F15" i="26"/>
  <c r="H15" i="26" s="1"/>
  <c r="F17" i="26"/>
  <c r="H17" i="26" s="1"/>
  <c r="F19" i="26"/>
  <c r="H19" i="26" s="1"/>
  <c r="F21" i="26"/>
  <c r="H21" i="26" s="1"/>
  <c r="K11" i="26"/>
  <c r="D12" i="26"/>
  <c r="F12" i="26"/>
  <c r="K13" i="26"/>
  <c r="D14" i="26"/>
  <c r="F14" i="26"/>
  <c r="K15" i="26"/>
  <c r="D16" i="26"/>
  <c r="F16" i="26"/>
  <c r="K17" i="26"/>
  <c r="D18" i="26"/>
  <c r="F18" i="26"/>
  <c r="K19" i="26"/>
  <c r="D20" i="26"/>
  <c r="F20" i="26"/>
  <c r="K21" i="26"/>
  <c r="D23" i="26"/>
  <c r="F23" i="26"/>
  <c r="D25" i="26"/>
  <c r="F25" i="26"/>
  <c r="D27" i="26"/>
  <c r="F27" i="26"/>
  <c r="D29" i="26"/>
  <c r="F29" i="26"/>
  <c r="D31" i="26"/>
  <c r="F31" i="26"/>
  <c r="D33" i="26"/>
  <c r="F33" i="26"/>
  <c r="D22" i="26"/>
  <c r="F22" i="26"/>
  <c r="D24" i="26"/>
  <c r="F24" i="26"/>
  <c r="D26" i="26"/>
  <c r="F26" i="26"/>
  <c r="D28" i="26"/>
  <c r="F28" i="26"/>
  <c r="D30" i="26"/>
  <c r="F30" i="26"/>
  <c r="D32" i="26"/>
  <c r="F32" i="26"/>
  <c r="D34" i="26"/>
  <c r="F34" i="26"/>
  <c r="D15" i="82"/>
  <c r="F15" i="82"/>
  <c r="D23" i="82"/>
  <c r="F23" i="82"/>
  <c r="D13" i="82"/>
  <c r="F13" i="82"/>
  <c r="D21" i="82"/>
  <c r="F21" i="82"/>
  <c r="D11" i="82"/>
  <c r="F11" i="82"/>
  <c r="D19" i="82"/>
  <c r="F19" i="82"/>
  <c r="D7" i="82"/>
  <c r="F7" i="82"/>
  <c r="D17" i="82"/>
  <c r="F17" i="82"/>
  <c r="D25" i="82"/>
  <c r="F25" i="82"/>
  <c r="K28" i="82"/>
  <c r="K47" i="82"/>
  <c r="F6" i="82"/>
  <c r="D6" i="82"/>
  <c r="F10" i="82"/>
  <c r="D10" i="82"/>
  <c r="K29" i="82"/>
  <c r="K43" i="82"/>
  <c r="D9" i="82"/>
  <c r="F9" i="82"/>
  <c r="D12" i="82"/>
  <c r="F12" i="82"/>
  <c r="D14" i="82"/>
  <c r="F14" i="82"/>
  <c r="D16" i="82"/>
  <c r="F16" i="82"/>
  <c r="D18" i="82"/>
  <c r="F18" i="82"/>
  <c r="D20" i="82"/>
  <c r="F20" i="82"/>
  <c r="D22" i="82"/>
  <c r="F22" i="82"/>
  <c r="D24" i="82"/>
  <c r="F24" i="82"/>
  <c r="D27" i="82"/>
  <c r="F27" i="82"/>
  <c r="K30" i="82"/>
  <c r="K39" i="82"/>
  <c r="F5" i="82"/>
  <c r="D5" i="82"/>
  <c r="F8" i="82"/>
  <c r="D8" i="82"/>
  <c r="D26" i="82"/>
  <c r="F26" i="82"/>
  <c r="K31" i="82"/>
  <c r="K35" i="82"/>
  <c r="H35" i="82"/>
  <c r="K53" i="82"/>
  <c r="K55" i="82"/>
  <c r="K69" i="82"/>
  <c r="F28" i="82"/>
  <c r="H28" i="82" s="1"/>
  <c r="F29" i="82"/>
  <c r="H29" i="82" s="1"/>
  <c r="F30" i="82"/>
  <c r="H30" i="82" s="1"/>
  <c r="D33" i="82"/>
  <c r="D37" i="82"/>
  <c r="D41" i="82"/>
  <c r="D45" i="82"/>
  <c r="D49" i="82"/>
  <c r="F53" i="82"/>
  <c r="H53" i="82" s="1"/>
  <c r="F55" i="82"/>
  <c r="H55" i="82" s="1"/>
  <c r="K57" i="82"/>
  <c r="K59" i="82"/>
  <c r="F69" i="82"/>
  <c r="H69" i="82" s="1"/>
  <c r="H32" i="82"/>
  <c r="H36" i="82"/>
  <c r="K61" i="82"/>
  <c r="K63" i="82"/>
  <c r="K51" i="82"/>
  <c r="F61" i="82"/>
  <c r="H61" i="82" s="1"/>
  <c r="F63" i="82"/>
  <c r="H63" i="82" s="1"/>
  <c r="K65" i="82"/>
  <c r="K67" i="82"/>
  <c r="F50" i="82"/>
  <c r="H50" i="82" s="1"/>
  <c r="H52" i="82"/>
  <c r="K52" i="82"/>
  <c r="F54" i="82"/>
  <c r="H54" i="82" s="1"/>
  <c r="H56" i="82"/>
  <c r="K56" i="82"/>
  <c r="F58" i="82"/>
  <c r="H58" i="82" s="1"/>
  <c r="K60" i="82"/>
  <c r="F62" i="82"/>
  <c r="H62" i="82" s="1"/>
  <c r="H64" i="82"/>
  <c r="K64" i="82"/>
  <c r="F66" i="82"/>
  <c r="H66" i="82" s="1"/>
  <c r="K68" i="82"/>
  <c r="F70" i="82"/>
  <c r="H70" i="82" s="1"/>
  <c r="K50" i="82"/>
  <c r="K54" i="82"/>
  <c r="K58" i="82"/>
  <c r="K62" i="82"/>
  <c r="K66" i="82"/>
  <c r="K70" i="82"/>
  <c r="D5" i="81"/>
  <c r="E5" i="81" s="1"/>
  <c r="E6" i="81" s="1"/>
  <c r="F5" i="81"/>
  <c r="G5" i="81" s="1"/>
  <c r="G6" i="81" s="1"/>
  <c r="F9" i="81"/>
  <c r="D9" i="81"/>
  <c r="D11" i="81"/>
  <c r="F11" i="81"/>
  <c r="F25" i="81"/>
  <c r="D25" i="81"/>
  <c r="K28" i="81"/>
  <c r="F29" i="81"/>
  <c r="D29" i="81"/>
  <c r="F15" i="81"/>
  <c r="D15" i="81"/>
  <c r="D34" i="81"/>
  <c r="F34" i="81"/>
  <c r="F14" i="81"/>
  <c r="D14" i="81"/>
  <c r="F19" i="81"/>
  <c r="D19" i="81"/>
  <c r="K20" i="81"/>
  <c r="F21" i="81"/>
  <c r="D21" i="81"/>
  <c r="F33" i="81"/>
  <c r="D33" i="81"/>
  <c r="K36" i="81"/>
  <c r="F37" i="81"/>
  <c r="D37" i="81"/>
  <c r="F7" i="81"/>
  <c r="D7" i="81"/>
  <c r="D16" i="81"/>
  <c r="F16" i="81"/>
  <c r="F12" i="81"/>
  <c r="D12" i="81"/>
  <c r="F18" i="81"/>
  <c r="D18" i="81"/>
  <c r="D26" i="81"/>
  <c r="F26" i="81"/>
  <c r="K22" i="81"/>
  <c r="K53" i="81"/>
  <c r="K55" i="81"/>
  <c r="K61" i="81"/>
  <c r="K69" i="81"/>
  <c r="D13" i="81"/>
  <c r="D17" i="81"/>
  <c r="F22" i="81"/>
  <c r="H22" i="81" s="1"/>
  <c r="D24" i="81"/>
  <c r="F30" i="81"/>
  <c r="H30" i="81" s="1"/>
  <c r="D32" i="81"/>
  <c r="F38" i="81"/>
  <c r="H38" i="81" s="1"/>
  <c r="F39" i="81"/>
  <c r="D39" i="81"/>
  <c r="D46" i="81"/>
  <c r="F51" i="81"/>
  <c r="H51" i="81" s="1"/>
  <c r="F53" i="81"/>
  <c r="H53" i="81" s="1"/>
  <c r="F55" i="81"/>
  <c r="H55" i="81" s="1"/>
  <c r="K57" i="81"/>
  <c r="F61" i="81"/>
  <c r="H61" i="81" s="1"/>
  <c r="F65" i="81"/>
  <c r="H65" i="81" s="1"/>
  <c r="F69" i="81"/>
  <c r="H69" i="81" s="1"/>
  <c r="D23" i="81"/>
  <c r="D31" i="81"/>
  <c r="D40" i="81"/>
  <c r="D48" i="81"/>
  <c r="F57" i="81"/>
  <c r="H57" i="81" s="1"/>
  <c r="K59" i="81"/>
  <c r="K63" i="81"/>
  <c r="K67" i="81"/>
  <c r="H6" i="81"/>
  <c r="D42" i="81"/>
  <c r="D50" i="81"/>
  <c r="D52" i="81"/>
  <c r="D54" i="81"/>
  <c r="F59" i="81"/>
  <c r="H59" i="81" s="1"/>
  <c r="F63" i="81"/>
  <c r="H63" i="81" s="1"/>
  <c r="F67" i="81"/>
  <c r="H67" i="81" s="1"/>
  <c r="K35" i="81"/>
  <c r="K51" i="81"/>
  <c r="K65" i="81"/>
  <c r="K56" i="81"/>
  <c r="K58" i="81"/>
  <c r="K60" i="81"/>
  <c r="K62" i="81"/>
  <c r="K64" i="81"/>
  <c r="H64" i="81"/>
  <c r="K66" i="81"/>
  <c r="K68" i="81"/>
  <c r="K70" i="81"/>
  <c r="D41" i="81"/>
  <c r="D43" i="81"/>
  <c r="D45" i="81"/>
  <c r="D47" i="81"/>
  <c r="D49" i="81"/>
  <c r="F56" i="81"/>
  <c r="H56" i="81" s="1"/>
  <c r="F58" i="81"/>
  <c r="H58" i="81" s="1"/>
  <c r="E6" i="80"/>
  <c r="E20" i="82" l="1"/>
  <c r="E21" i="82" s="1"/>
  <c r="E22" i="82" s="1"/>
  <c r="E23" i="82" s="1"/>
  <c r="E24" i="82" s="1"/>
  <c r="E25" i="82" s="1"/>
  <c r="E26" i="82" s="1"/>
  <c r="E27" i="82" s="1"/>
  <c r="E28" i="82" s="1"/>
  <c r="E29" i="82" s="1"/>
  <c r="E30" i="82" s="1"/>
  <c r="E31" i="82" s="1"/>
  <c r="E32" i="82" s="1"/>
  <c r="E33" i="82" s="1"/>
  <c r="E34" i="82" s="1"/>
  <c r="E35" i="82" s="1"/>
  <c r="E36" i="82" s="1"/>
  <c r="E37" i="82" s="1"/>
  <c r="E38" i="82" s="1"/>
  <c r="E39" i="82" s="1"/>
  <c r="E40" i="82" s="1"/>
  <c r="G20" i="82"/>
  <c r="G21" i="82" s="1"/>
  <c r="G22" i="82" s="1"/>
  <c r="G23" i="82" s="1"/>
  <c r="G24" i="82" s="1"/>
  <c r="G25" i="82" s="1"/>
  <c r="E41" i="82"/>
  <c r="E42" i="82" s="1"/>
  <c r="E43" i="82" s="1"/>
  <c r="E44" i="82" s="1"/>
  <c r="E45" i="82" s="1"/>
  <c r="E46" i="82" s="1"/>
  <c r="E47" i="82" s="1"/>
  <c r="E48" i="82" s="1"/>
  <c r="E49" i="82" s="1"/>
  <c r="E50" i="82" s="1"/>
  <c r="E51" i="82" s="1"/>
  <c r="E52" i="82" s="1"/>
  <c r="E53" i="82" s="1"/>
  <c r="E54" i="82" s="1"/>
  <c r="E55" i="82" s="1"/>
  <c r="E56" i="82" s="1"/>
  <c r="E57" i="82" s="1"/>
  <c r="E58" i="82" s="1"/>
  <c r="E59" i="82" s="1"/>
  <c r="E60" i="82" s="1"/>
  <c r="E61" i="82" s="1"/>
  <c r="E62" i="82" s="1"/>
  <c r="E63" i="82" s="1"/>
  <c r="E64" i="82" s="1"/>
  <c r="E65" i="82" s="1"/>
  <c r="E66" i="82" s="1"/>
  <c r="E67" i="82" s="1"/>
  <c r="E68" i="82" s="1"/>
  <c r="E69" i="82" s="1"/>
  <c r="E70" i="82" s="1"/>
  <c r="G8" i="26"/>
  <c r="G9" i="26" s="1"/>
  <c r="G10" i="26" s="1"/>
  <c r="G11" i="26" s="1"/>
  <c r="G12" i="26" s="1"/>
  <c r="G13" i="26" s="1"/>
  <c r="G14" i="26" s="1"/>
  <c r="G15" i="26" s="1"/>
  <c r="G16" i="26" s="1"/>
  <c r="G17" i="26" s="1"/>
  <c r="G18" i="26" s="1"/>
  <c r="G19" i="26" s="1"/>
  <c r="G20" i="26" s="1"/>
  <c r="G21" i="26" s="1"/>
  <c r="G22" i="26" s="1"/>
  <c r="G23" i="26" s="1"/>
  <c r="G24" i="26" s="1"/>
  <c r="G25" i="26" s="1"/>
  <c r="G26" i="26" s="1"/>
  <c r="G27" i="26" s="1"/>
  <c r="G28" i="26" s="1"/>
  <c r="G29" i="26" s="1"/>
  <c r="G30" i="26" s="1"/>
  <c r="G31" i="26" s="1"/>
  <c r="G32" i="26" s="1"/>
  <c r="G33" i="26" s="1"/>
  <c r="G34" i="26" s="1"/>
  <c r="E7" i="81"/>
  <c r="E8" i="81" s="1"/>
  <c r="E9" i="81" s="1"/>
  <c r="E10" i="81" s="1"/>
  <c r="E11" i="81" s="1"/>
  <c r="E12" i="81" s="1"/>
  <c r="E13" i="81" s="1"/>
  <c r="E14" i="81" s="1"/>
  <c r="E15" i="81" s="1"/>
  <c r="E16" i="81" s="1"/>
  <c r="E17" i="81" s="1"/>
  <c r="E18" i="81" s="1"/>
  <c r="E19" i="81" s="1"/>
  <c r="E20" i="81" s="1"/>
  <c r="E21" i="81" s="1"/>
  <c r="E22" i="81" s="1"/>
  <c r="E23" i="81" s="1"/>
  <c r="E24" i="81" s="1"/>
  <c r="E25" i="81" s="1"/>
  <c r="E26" i="81" s="1"/>
  <c r="E27" i="81" s="1"/>
  <c r="E28" i="81" s="1"/>
  <c r="E29" i="81" s="1"/>
  <c r="E30" i="81" s="1"/>
  <c r="E31" i="81" s="1"/>
  <c r="E32" i="81" s="1"/>
  <c r="E33" i="81" s="1"/>
  <c r="E34" i="81" s="1"/>
  <c r="E35" i="81" s="1"/>
  <c r="E36" i="81" s="1"/>
  <c r="E37" i="81" s="1"/>
  <c r="E38" i="81" s="1"/>
  <c r="E39" i="81" s="1"/>
  <c r="E40" i="81" s="1"/>
  <c r="E41" i="81" s="1"/>
  <c r="E42" i="81" s="1"/>
  <c r="E43" i="81" s="1"/>
  <c r="E44" i="81" s="1"/>
  <c r="E45" i="81" s="1"/>
  <c r="E46" i="81" s="1"/>
  <c r="E47" i="81" s="1"/>
  <c r="E48" i="81" s="1"/>
  <c r="E49" i="81" s="1"/>
  <c r="E50" i="81" s="1"/>
  <c r="E51" i="81" s="1"/>
  <c r="E52" i="81" s="1"/>
  <c r="E53" i="81" s="1"/>
  <c r="E54" i="81" s="1"/>
  <c r="E55" i="81" s="1"/>
  <c r="E56" i="81" s="1"/>
  <c r="E57" i="81" s="1"/>
  <c r="E58" i="81" s="1"/>
  <c r="E59" i="81" s="1"/>
  <c r="E60" i="81" s="1"/>
  <c r="E61" i="81" s="1"/>
  <c r="E62" i="81" s="1"/>
  <c r="E63" i="81" s="1"/>
  <c r="E64" i="81" s="1"/>
  <c r="E65" i="81" s="1"/>
  <c r="E66" i="81" s="1"/>
  <c r="E67" i="81" s="1"/>
  <c r="E68" i="81" s="1"/>
  <c r="E69" i="81" s="1"/>
  <c r="E70" i="81" s="1"/>
  <c r="G26" i="82"/>
  <c r="G27" i="82" s="1"/>
  <c r="G28" i="82" s="1"/>
  <c r="G29" i="82" s="1"/>
  <c r="G30" i="82" s="1"/>
  <c r="G31" i="82" s="1"/>
  <c r="G32" i="82" s="1"/>
  <c r="G33" i="82" s="1"/>
  <c r="G34" i="82" s="1"/>
  <c r="G35" i="82" s="1"/>
  <c r="G36" i="82" s="1"/>
  <c r="G37" i="82" s="1"/>
  <c r="G38" i="82" s="1"/>
  <c r="G39" i="82" s="1"/>
  <c r="G40" i="82" s="1"/>
  <c r="G41" i="82" s="1"/>
  <c r="G42" i="82" s="1"/>
  <c r="G43" i="82" s="1"/>
  <c r="G44" i="82" s="1"/>
  <c r="G45" i="82" s="1"/>
  <c r="G46" i="82" s="1"/>
  <c r="G47" i="82" s="1"/>
  <c r="G48" i="82" s="1"/>
  <c r="G49" i="82" s="1"/>
  <c r="G50" i="82" s="1"/>
  <c r="G51" i="82" s="1"/>
  <c r="G52" i="82" s="1"/>
  <c r="G53" i="82" s="1"/>
  <c r="G54" i="82" s="1"/>
  <c r="G55" i="82" s="1"/>
  <c r="G56" i="82" s="1"/>
  <c r="G57" i="82" s="1"/>
  <c r="G58" i="82" s="1"/>
  <c r="G59" i="82" s="1"/>
  <c r="G60" i="82" s="1"/>
  <c r="G61" i="82" s="1"/>
  <c r="G62" i="82" s="1"/>
  <c r="G63" i="82" s="1"/>
  <c r="G64" i="82" s="1"/>
  <c r="G65" i="82" s="1"/>
  <c r="G66" i="82" s="1"/>
  <c r="G67" i="82" s="1"/>
  <c r="G68" i="82" s="1"/>
  <c r="G69" i="82" s="1"/>
  <c r="G70" i="82" s="1"/>
  <c r="G7" i="81"/>
  <c r="G8" i="81" s="1"/>
  <c r="G9" i="81" s="1"/>
  <c r="G10" i="81" s="1"/>
  <c r="G11" i="81" s="1"/>
  <c r="G12" i="81" s="1"/>
  <c r="G13" i="81" s="1"/>
  <c r="G14" i="81" s="1"/>
  <c r="G15" i="81" s="1"/>
  <c r="G16" i="81" s="1"/>
  <c r="G17" i="81" s="1"/>
  <c r="G18" i="81" s="1"/>
  <c r="G19" i="81" s="1"/>
  <c r="G20" i="81" s="1"/>
  <c r="G21" i="81" s="1"/>
  <c r="G22" i="81" s="1"/>
  <c r="G23" i="81" s="1"/>
  <c r="G24" i="81" s="1"/>
  <c r="G25" i="81" s="1"/>
  <c r="G26" i="81" s="1"/>
  <c r="G27" i="81" s="1"/>
  <c r="G28" i="81" s="1"/>
  <c r="G29" i="81" s="1"/>
  <c r="G30" i="81" s="1"/>
  <c r="G31" i="81" s="1"/>
  <c r="G32" i="81" s="1"/>
  <c r="G33" i="81" s="1"/>
  <c r="G34" i="81" s="1"/>
  <c r="G35" i="81" s="1"/>
  <c r="G36" i="81" s="1"/>
  <c r="G37" i="81" s="1"/>
  <c r="G38" i="81" s="1"/>
  <c r="G39" i="81" s="1"/>
  <c r="G40" i="81" s="1"/>
  <c r="G41" i="81" s="1"/>
  <c r="G42" i="81" s="1"/>
  <c r="G43" i="81" s="1"/>
  <c r="G44" i="81" s="1"/>
  <c r="G45" i="81" s="1"/>
  <c r="G46" i="81" s="1"/>
  <c r="G47" i="81" s="1"/>
  <c r="G48" i="81" s="1"/>
  <c r="G49" i="81" s="1"/>
  <c r="G50" i="81" s="1"/>
  <c r="G51" i="81" s="1"/>
  <c r="G52" i="81" s="1"/>
  <c r="G53" i="81" s="1"/>
  <c r="G54" i="81" s="1"/>
  <c r="G55" i="81" s="1"/>
  <c r="G56" i="81" s="1"/>
  <c r="G57" i="81" s="1"/>
  <c r="G58" i="81" s="1"/>
  <c r="G59" i="81" s="1"/>
  <c r="G60" i="81" s="1"/>
  <c r="G61" i="81" s="1"/>
  <c r="G62" i="81" s="1"/>
  <c r="G63" i="81" s="1"/>
  <c r="G64" i="81" s="1"/>
  <c r="G65" i="81" s="1"/>
  <c r="G66" i="81" s="1"/>
  <c r="G67" i="81" s="1"/>
  <c r="G68" i="81" s="1"/>
  <c r="G69" i="81" s="1"/>
  <c r="G70" i="81" s="1"/>
  <c r="E8" i="26"/>
  <c r="E9" i="26" s="1"/>
  <c r="E10" i="26" s="1"/>
  <c r="E11" i="26" s="1"/>
  <c r="E12" i="26" s="1"/>
  <c r="E13" i="26" s="1"/>
  <c r="E14" i="26" s="1"/>
  <c r="E15" i="26" s="1"/>
  <c r="E16" i="26" s="1"/>
  <c r="E17" i="26" s="1"/>
  <c r="E18" i="26" s="1"/>
  <c r="E19" i="26" s="1"/>
  <c r="E20" i="26" s="1"/>
  <c r="E21" i="26" s="1"/>
  <c r="E22" i="26" s="1"/>
  <c r="E23" i="26" s="1"/>
  <c r="E24" i="26" s="1"/>
  <c r="E25" i="26" s="1"/>
  <c r="E26" i="26" s="1"/>
  <c r="E27" i="26" s="1"/>
  <c r="E28" i="26" s="1"/>
  <c r="E29" i="26" s="1"/>
  <c r="E30" i="26" s="1"/>
  <c r="E31" i="26" s="1"/>
  <c r="E32" i="26" s="1"/>
  <c r="E33" i="26" s="1"/>
  <c r="E34" i="26" s="1"/>
  <c r="H10" i="26"/>
  <c r="K42" i="82"/>
  <c r="K5" i="26"/>
  <c r="K34" i="82"/>
  <c r="H6" i="26"/>
  <c r="K44" i="82"/>
  <c r="H5" i="26"/>
  <c r="H48" i="82"/>
  <c r="K7" i="26"/>
  <c r="K27" i="81"/>
  <c r="H40" i="82"/>
  <c r="H46" i="82"/>
  <c r="H38" i="82"/>
  <c r="H44" i="81"/>
  <c r="H16" i="26"/>
  <c r="K16" i="26"/>
  <c r="H20" i="26"/>
  <c r="K20" i="26"/>
  <c r="H12" i="26"/>
  <c r="K12" i="26"/>
  <c r="H8" i="26"/>
  <c r="K8" i="26"/>
  <c r="I5" i="26"/>
  <c r="J5" i="26" s="1"/>
  <c r="H34" i="26"/>
  <c r="K34" i="26"/>
  <c r="H30" i="26"/>
  <c r="K30" i="26"/>
  <c r="H26" i="26"/>
  <c r="K26" i="26"/>
  <c r="H22" i="26"/>
  <c r="K22" i="26"/>
  <c r="H31" i="26"/>
  <c r="K31" i="26"/>
  <c r="H27" i="26"/>
  <c r="K27" i="26"/>
  <c r="H23" i="26"/>
  <c r="K23" i="26"/>
  <c r="H14" i="26"/>
  <c r="K14" i="26"/>
  <c r="H32" i="26"/>
  <c r="K32" i="26"/>
  <c r="H28" i="26"/>
  <c r="K28" i="26"/>
  <c r="H24" i="26"/>
  <c r="K24" i="26"/>
  <c r="H33" i="26"/>
  <c r="K33" i="26"/>
  <c r="H29" i="26"/>
  <c r="K29" i="26"/>
  <c r="H25" i="26"/>
  <c r="K25" i="26"/>
  <c r="H18" i="26"/>
  <c r="K18" i="26"/>
  <c r="H9" i="26"/>
  <c r="K9" i="26"/>
  <c r="K45" i="82"/>
  <c r="H45" i="82"/>
  <c r="K26" i="82"/>
  <c r="H26" i="82"/>
  <c r="K27" i="82"/>
  <c r="H27" i="82"/>
  <c r="H18" i="82"/>
  <c r="K18" i="82"/>
  <c r="H14" i="82"/>
  <c r="K14" i="82"/>
  <c r="H9" i="82"/>
  <c r="K9" i="82"/>
  <c r="H10" i="82"/>
  <c r="K10" i="82"/>
  <c r="H17" i="82"/>
  <c r="K17" i="82"/>
  <c r="H19" i="82"/>
  <c r="K19" i="82"/>
  <c r="H23" i="82"/>
  <c r="K23" i="82"/>
  <c r="K37" i="82"/>
  <c r="H37" i="82"/>
  <c r="H24" i="82"/>
  <c r="K24" i="82"/>
  <c r="H20" i="82"/>
  <c r="K20" i="82"/>
  <c r="H16" i="82"/>
  <c r="K16" i="82"/>
  <c r="H12" i="82"/>
  <c r="K12" i="82"/>
  <c r="H6" i="82"/>
  <c r="K6" i="82"/>
  <c r="H22" i="82"/>
  <c r="K22" i="82"/>
  <c r="K41" i="82"/>
  <c r="H41" i="82"/>
  <c r="H8" i="82"/>
  <c r="K8" i="82"/>
  <c r="H21" i="82"/>
  <c r="K21" i="82"/>
  <c r="K49" i="82"/>
  <c r="H49" i="82"/>
  <c r="K33" i="82"/>
  <c r="H33" i="82"/>
  <c r="H5" i="82"/>
  <c r="K5" i="82"/>
  <c r="K25" i="82"/>
  <c r="H25" i="82"/>
  <c r="H7" i="82"/>
  <c r="K7" i="82"/>
  <c r="H11" i="82"/>
  <c r="K11" i="82"/>
  <c r="H13" i="82"/>
  <c r="K13" i="82"/>
  <c r="H15" i="82"/>
  <c r="K15" i="82"/>
  <c r="K50" i="81"/>
  <c r="H50" i="81"/>
  <c r="H31" i="81"/>
  <c r="K31" i="81"/>
  <c r="K18" i="81"/>
  <c r="H18" i="81"/>
  <c r="K37" i="81"/>
  <c r="H37" i="81"/>
  <c r="K33" i="81"/>
  <c r="H33" i="81"/>
  <c r="K34" i="81"/>
  <c r="H34" i="81"/>
  <c r="K45" i="81"/>
  <c r="H45" i="81"/>
  <c r="K42" i="81"/>
  <c r="H42" i="81"/>
  <c r="H23" i="81"/>
  <c r="K23" i="81"/>
  <c r="H7" i="81"/>
  <c r="K7" i="81"/>
  <c r="K14" i="81"/>
  <c r="H14" i="81"/>
  <c r="K15" i="81"/>
  <c r="H15" i="81"/>
  <c r="K43" i="81"/>
  <c r="H43" i="81"/>
  <c r="K54" i="81"/>
  <c r="H54" i="81"/>
  <c r="K48" i="81"/>
  <c r="H48" i="81"/>
  <c r="K46" i="81"/>
  <c r="H46" i="81"/>
  <c r="H32" i="81"/>
  <c r="K32" i="81"/>
  <c r="K17" i="81"/>
  <c r="H17" i="81"/>
  <c r="H12" i="81"/>
  <c r="K12" i="81"/>
  <c r="H16" i="81"/>
  <c r="K16" i="81"/>
  <c r="H11" i="81"/>
  <c r="K11" i="81"/>
  <c r="K47" i="81"/>
  <c r="H47" i="81"/>
  <c r="H24" i="81"/>
  <c r="K24" i="81"/>
  <c r="K49" i="81"/>
  <c r="H49" i="81"/>
  <c r="K41" i="81"/>
  <c r="H41" i="81"/>
  <c r="K52" i="81"/>
  <c r="H52" i="81"/>
  <c r="K40" i="81"/>
  <c r="H40" i="81"/>
  <c r="K39" i="81"/>
  <c r="H39" i="81"/>
  <c r="K13" i="81"/>
  <c r="H13" i="81"/>
  <c r="K26" i="81"/>
  <c r="H26" i="81"/>
  <c r="K21" i="81"/>
  <c r="H21" i="81"/>
  <c r="H19" i="81"/>
  <c r="K19" i="81"/>
  <c r="K29" i="81"/>
  <c r="H29" i="81"/>
  <c r="K25" i="81"/>
  <c r="H25" i="81"/>
  <c r="K9" i="81"/>
  <c r="H9" i="81"/>
  <c r="K5" i="81"/>
  <c r="H5" i="81"/>
  <c r="E7" i="80"/>
  <c r="I6" i="26" l="1"/>
  <c r="J6" i="26" s="1"/>
  <c r="L5" i="26"/>
  <c r="I5" i="82"/>
  <c r="J5" i="82" s="1"/>
  <c r="I5" i="81"/>
  <c r="J5" i="81" s="1"/>
  <c r="E8" i="80"/>
  <c r="L6" i="26" l="1"/>
  <c r="I7" i="26"/>
  <c r="J7" i="26" s="1"/>
  <c r="L5" i="82"/>
  <c r="I6" i="82"/>
  <c r="J6" i="82" s="1"/>
  <c r="L5" i="81"/>
  <c r="I6" i="81"/>
  <c r="J6" i="81" s="1"/>
  <c r="E9" i="80"/>
  <c r="D8" i="1"/>
  <c r="O14" i="1"/>
  <c r="O16" i="1" s="1"/>
  <c r="O18" i="1" s="1"/>
  <c r="F2" i="75"/>
  <c r="A60" i="77"/>
  <c r="C60" i="77" s="1"/>
  <c r="D60" i="77" s="1"/>
  <c r="F60" i="77" s="1"/>
  <c r="A59" i="77"/>
  <c r="C59" i="77" s="1"/>
  <c r="D59" i="77" s="1"/>
  <c r="A58" i="77"/>
  <c r="C58" i="77" s="1"/>
  <c r="D58" i="77" s="1"/>
  <c r="A57" i="77"/>
  <c r="C57" i="77" s="1"/>
  <c r="D57" i="77" s="1"/>
  <c r="A56" i="77"/>
  <c r="C56" i="77" s="1"/>
  <c r="D56" i="77" s="1"/>
  <c r="A55" i="77"/>
  <c r="C55" i="77" s="1"/>
  <c r="D55" i="77" s="1"/>
  <c r="A54" i="77"/>
  <c r="C54" i="77" s="1"/>
  <c r="D54" i="77" s="1"/>
  <c r="A53" i="77"/>
  <c r="C53" i="77" s="1"/>
  <c r="D53" i="77" s="1"/>
  <c r="A52" i="77"/>
  <c r="C52" i="77" s="1"/>
  <c r="D52" i="77" s="1"/>
  <c r="A51" i="77"/>
  <c r="C51" i="77" s="1"/>
  <c r="D51" i="77" s="1"/>
  <c r="A50" i="77"/>
  <c r="C50" i="77" s="1"/>
  <c r="D50" i="77" s="1"/>
  <c r="A49" i="77"/>
  <c r="C49" i="77" s="1"/>
  <c r="D49" i="77" s="1"/>
  <c r="A48" i="77"/>
  <c r="C48" i="77" s="1"/>
  <c r="D48" i="77" s="1"/>
  <c r="A47" i="77"/>
  <c r="C47" i="77" s="1"/>
  <c r="D47" i="77" s="1"/>
  <c r="A46" i="77"/>
  <c r="C46" i="77" s="1"/>
  <c r="D46" i="77" s="1"/>
  <c r="A45" i="77"/>
  <c r="C45" i="77" s="1"/>
  <c r="D45" i="77" s="1"/>
  <c r="A44" i="77"/>
  <c r="C44" i="77" s="1"/>
  <c r="D44" i="77" s="1"/>
  <c r="A43" i="77"/>
  <c r="C43" i="77" s="1"/>
  <c r="D43" i="77" s="1"/>
  <c r="A42" i="77"/>
  <c r="C42" i="77" s="1"/>
  <c r="D42" i="77" s="1"/>
  <c r="A41" i="77"/>
  <c r="C41" i="77" s="1"/>
  <c r="D41" i="77" s="1"/>
  <c r="A40" i="77"/>
  <c r="C40" i="77" s="1"/>
  <c r="D40" i="77" s="1"/>
  <c r="A39" i="77"/>
  <c r="C39" i="77" s="1"/>
  <c r="D39" i="77" s="1"/>
  <c r="A38" i="77"/>
  <c r="C38" i="77" s="1"/>
  <c r="D38" i="77" s="1"/>
  <c r="C37" i="77"/>
  <c r="D37" i="77" s="1"/>
  <c r="A37" i="77"/>
  <c r="A36" i="77"/>
  <c r="C36" i="77" s="1"/>
  <c r="D36" i="77" s="1"/>
  <c r="A35" i="77"/>
  <c r="C35" i="77" s="1"/>
  <c r="D35" i="77" s="1"/>
  <c r="A34" i="77"/>
  <c r="C34" i="77" s="1"/>
  <c r="D34" i="77" s="1"/>
  <c r="A33" i="77"/>
  <c r="C33" i="77" s="1"/>
  <c r="D33" i="77" s="1"/>
  <c r="A32" i="77"/>
  <c r="C32" i="77" s="1"/>
  <c r="D32" i="77" s="1"/>
  <c r="A31" i="77"/>
  <c r="C31" i="77" s="1"/>
  <c r="D31" i="77" s="1"/>
  <c r="A30" i="77"/>
  <c r="C30" i="77" s="1"/>
  <c r="D30" i="77" s="1"/>
  <c r="A29" i="77"/>
  <c r="C29" i="77" s="1"/>
  <c r="D29" i="77" s="1"/>
  <c r="A28" i="77"/>
  <c r="C28" i="77" s="1"/>
  <c r="D28" i="77" s="1"/>
  <c r="A27" i="77"/>
  <c r="C27" i="77" s="1"/>
  <c r="D27" i="77" s="1"/>
  <c r="A26" i="77"/>
  <c r="C26" i="77" s="1"/>
  <c r="D26" i="77" s="1"/>
  <c r="A25" i="77"/>
  <c r="C25" i="77" s="1"/>
  <c r="D25" i="77" s="1"/>
  <c r="A24" i="77"/>
  <c r="C24" i="77" s="1"/>
  <c r="D24" i="77" s="1"/>
  <c r="A23" i="77"/>
  <c r="C23" i="77" s="1"/>
  <c r="D23" i="77" s="1"/>
  <c r="A22" i="77"/>
  <c r="C22" i="77" s="1"/>
  <c r="D22" i="77" s="1"/>
  <c r="A21" i="77"/>
  <c r="C21" i="77" s="1"/>
  <c r="D21" i="77" s="1"/>
  <c r="A20" i="77"/>
  <c r="C20" i="77" s="1"/>
  <c r="D20" i="77" s="1"/>
  <c r="A19" i="77"/>
  <c r="C19" i="77" s="1"/>
  <c r="D19" i="77" s="1"/>
  <c r="A18" i="77"/>
  <c r="C18" i="77" s="1"/>
  <c r="D18" i="77" s="1"/>
  <c r="A17" i="77"/>
  <c r="C17" i="77" s="1"/>
  <c r="D17" i="77" s="1"/>
  <c r="A16" i="77"/>
  <c r="C16" i="77" s="1"/>
  <c r="D16" i="77" s="1"/>
  <c r="A15" i="77"/>
  <c r="C15" i="77" s="1"/>
  <c r="D15" i="77" s="1"/>
  <c r="A14" i="77"/>
  <c r="C14" i="77" s="1"/>
  <c r="D14" i="77" s="1"/>
  <c r="A13" i="77"/>
  <c r="C13" i="77" s="1"/>
  <c r="D13" i="77" s="1"/>
  <c r="A12" i="77"/>
  <c r="C12" i="77" s="1"/>
  <c r="D12" i="77" s="1"/>
  <c r="A11" i="77"/>
  <c r="C11" i="77" s="1"/>
  <c r="D11" i="77" s="1"/>
  <c r="A10" i="77"/>
  <c r="C10" i="77" s="1"/>
  <c r="D10" i="77" s="1"/>
  <c r="A9" i="77"/>
  <c r="C9" i="77" s="1"/>
  <c r="D9" i="77" s="1"/>
  <c r="A8" i="77"/>
  <c r="C8" i="77" s="1"/>
  <c r="D8" i="77" s="1"/>
  <c r="A7" i="77"/>
  <c r="C7" i="77" s="1"/>
  <c r="D7" i="77" s="1"/>
  <c r="A6" i="77"/>
  <c r="C6" i="77" s="1"/>
  <c r="D6" i="77" s="1"/>
  <c r="A5" i="77"/>
  <c r="C5" i="77" s="1"/>
  <c r="D5" i="77" s="1"/>
  <c r="A64" i="76"/>
  <c r="C64" i="76" s="1"/>
  <c r="D64" i="76" s="1"/>
  <c r="F64" i="76" s="1"/>
  <c r="A63" i="76"/>
  <c r="C63" i="76" s="1"/>
  <c r="D63" i="76" s="1"/>
  <c r="A62" i="76"/>
  <c r="C62" i="76" s="1"/>
  <c r="D62" i="76" s="1"/>
  <c r="A61" i="76"/>
  <c r="C61" i="76" s="1"/>
  <c r="D61" i="76" s="1"/>
  <c r="A60" i="76"/>
  <c r="C60" i="76" s="1"/>
  <c r="D60" i="76" s="1"/>
  <c r="A59" i="76"/>
  <c r="C59" i="76" s="1"/>
  <c r="D59" i="76" s="1"/>
  <c r="A58" i="76"/>
  <c r="C58" i="76" s="1"/>
  <c r="D58" i="76" s="1"/>
  <c r="A57" i="76"/>
  <c r="C57" i="76" s="1"/>
  <c r="D57" i="76" s="1"/>
  <c r="A56" i="76"/>
  <c r="C56" i="76" s="1"/>
  <c r="D56" i="76" s="1"/>
  <c r="A55" i="76"/>
  <c r="C55" i="76" s="1"/>
  <c r="D55" i="76" s="1"/>
  <c r="A54" i="76"/>
  <c r="C54" i="76" s="1"/>
  <c r="D54" i="76" s="1"/>
  <c r="A53" i="76"/>
  <c r="C53" i="76" s="1"/>
  <c r="D53" i="76" s="1"/>
  <c r="A52" i="76"/>
  <c r="C52" i="76" s="1"/>
  <c r="D52" i="76" s="1"/>
  <c r="A51" i="76"/>
  <c r="C51" i="76" s="1"/>
  <c r="D51" i="76" s="1"/>
  <c r="A50" i="76"/>
  <c r="C50" i="76" s="1"/>
  <c r="D50" i="76" s="1"/>
  <c r="A49" i="76"/>
  <c r="C49" i="76" s="1"/>
  <c r="D49" i="76" s="1"/>
  <c r="A48" i="76"/>
  <c r="C48" i="76" s="1"/>
  <c r="D48" i="76" s="1"/>
  <c r="A47" i="76"/>
  <c r="C47" i="76" s="1"/>
  <c r="D47" i="76" s="1"/>
  <c r="A46" i="76"/>
  <c r="C46" i="76" s="1"/>
  <c r="D46" i="76" s="1"/>
  <c r="A45" i="76"/>
  <c r="C45" i="76" s="1"/>
  <c r="D45" i="76" s="1"/>
  <c r="A44" i="76"/>
  <c r="C44" i="76" s="1"/>
  <c r="D44" i="76" s="1"/>
  <c r="A43" i="76"/>
  <c r="C43" i="76" s="1"/>
  <c r="D43" i="76" s="1"/>
  <c r="A42" i="76"/>
  <c r="C42" i="76" s="1"/>
  <c r="D42" i="76" s="1"/>
  <c r="A41" i="76"/>
  <c r="C41" i="76" s="1"/>
  <c r="D41" i="76" s="1"/>
  <c r="A40" i="76"/>
  <c r="C40" i="76" s="1"/>
  <c r="D40" i="76" s="1"/>
  <c r="A39" i="76"/>
  <c r="C39" i="76" s="1"/>
  <c r="D39" i="76" s="1"/>
  <c r="A38" i="76"/>
  <c r="C38" i="76" s="1"/>
  <c r="D38" i="76" s="1"/>
  <c r="A37" i="76"/>
  <c r="C37" i="76" s="1"/>
  <c r="D37" i="76" s="1"/>
  <c r="C36" i="76"/>
  <c r="D36" i="76" s="1"/>
  <c r="A36" i="76"/>
  <c r="A35" i="76"/>
  <c r="C35" i="76" s="1"/>
  <c r="D35" i="76" s="1"/>
  <c r="A34" i="76"/>
  <c r="C34" i="76" s="1"/>
  <c r="D34" i="76" s="1"/>
  <c r="C33" i="76"/>
  <c r="D33" i="76" s="1"/>
  <c r="A33" i="76"/>
  <c r="A32" i="76"/>
  <c r="C32" i="76" s="1"/>
  <c r="D32" i="76" s="1"/>
  <c r="A31" i="76"/>
  <c r="C31" i="76" s="1"/>
  <c r="D31" i="76" s="1"/>
  <c r="A30" i="76"/>
  <c r="C30" i="76" s="1"/>
  <c r="D30" i="76" s="1"/>
  <c r="A29" i="76"/>
  <c r="C29" i="76" s="1"/>
  <c r="D29" i="76" s="1"/>
  <c r="A28" i="76"/>
  <c r="C28" i="76" s="1"/>
  <c r="D28" i="76" s="1"/>
  <c r="A27" i="76"/>
  <c r="C27" i="76" s="1"/>
  <c r="D27" i="76" s="1"/>
  <c r="A26" i="76"/>
  <c r="C26" i="76" s="1"/>
  <c r="D26" i="76" s="1"/>
  <c r="A25" i="76"/>
  <c r="C25" i="76" s="1"/>
  <c r="D25" i="76" s="1"/>
  <c r="A24" i="76"/>
  <c r="C24" i="76" s="1"/>
  <c r="D24" i="76" s="1"/>
  <c r="A23" i="76"/>
  <c r="C23" i="76" s="1"/>
  <c r="D23" i="76" s="1"/>
  <c r="A22" i="76"/>
  <c r="C22" i="76" s="1"/>
  <c r="D22" i="76" s="1"/>
  <c r="A21" i="76"/>
  <c r="C21" i="76" s="1"/>
  <c r="D21" i="76" s="1"/>
  <c r="A20" i="76"/>
  <c r="C20" i="76" s="1"/>
  <c r="D20" i="76" s="1"/>
  <c r="A19" i="76"/>
  <c r="C19" i="76" s="1"/>
  <c r="D19" i="76" s="1"/>
  <c r="A18" i="76"/>
  <c r="C18" i="76" s="1"/>
  <c r="D18" i="76" s="1"/>
  <c r="A17" i="76"/>
  <c r="C17" i="76" s="1"/>
  <c r="D17" i="76" s="1"/>
  <c r="A16" i="76"/>
  <c r="C16" i="76" s="1"/>
  <c r="D16" i="76" s="1"/>
  <c r="A15" i="76"/>
  <c r="C15" i="76" s="1"/>
  <c r="D15" i="76" s="1"/>
  <c r="A14" i="76"/>
  <c r="C14" i="76" s="1"/>
  <c r="D14" i="76" s="1"/>
  <c r="A13" i="76"/>
  <c r="C13" i="76" s="1"/>
  <c r="D13" i="76" s="1"/>
  <c r="A12" i="76"/>
  <c r="C12" i="76" s="1"/>
  <c r="D12" i="76" s="1"/>
  <c r="A11" i="76"/>
  <c r="C11" i="76" s="1"/>
  <c r="D11" i="76" s="1"/>
  <c r="A10" i="76"/>
  <c r="C10" i="76" s="1"/>
  <c r="D10" i="76" s="1"/>
  <c r="A9" i="76"/>
  <c r="C9" i="76" s="1"/>
  <c r="D9" i="76" s="1"/>
  <c r="A8" i="76"/>
  <c r="C8" i="76" s="1"/>
  <c r="D8" i="76" s="1"/>
  <c r="A7" i="76"/>
  <c r="C7" i="76" s="1"/>
  <c r="D7" i="76" s="1"/>
  <c r="A6" i="76"/>
  <c r="C6" i="76" s="1"/>
  <c r="D6" i="76" s="1"/>
  <c r="A5" i="76"/>
  <c r="C5" i="76" s="1"/>
  <c r="D5" i="76" s="1"/>
  <c r="A70" i="75"/>
  <c r="C70" i="75" s="1"/>
  <c r="D70" i="75" s="1"/>
  <c r="F70" i="75" s="1"/>
  <c r="A69" i="75"/>
  <c r="C69" i="75" s="1"/>
  <c r="D69" i="75" s="1"/>
  <c r="A68" i="75"/>
  <c r="C68" i="75" s="1"/>
  <c r="D68" i="75" s="1"/>
  <c r="A67" i="75"/>
  <c r="C67" i="75" s="1"/>
  <c r="D67" i="75" s="1"/>
  <c r="A66" i="75"/>
  <c r="C66" i="75" s="1"/>
  <c r="D66" i="75" s="1"/>
  <c r="A65" i="75"/>
  <c r="C65" i="75" s="1"/>
  <c r="D65" i="75" s="1"/>
  <c r="A64" i="75"/>
  <c r="C64" i="75" s="1"/>
  <c r="D64" i="75" s="1"/>
  <c r="A63" i="75"/>
  <c r="C63" i="75" s="1"/>
  <c r="D63" i="75" s="1"/>
  <c r="A62" i="75"/>
  <c r="C62" i="75" s="1"/>
  <c r="D62" i="75" s="1"/>
  <c r="A61" i="75"/>
  <c r="C61" i="75" s="1"/>
  <c r="D61" i="75" s="1"/>
  <c r="A60" i="75"/>
  <c r="C60" i="75" s="1"/>
  <c r="D60" i="75" s="1"/>
  <c r="A59" i="75"/>
  <c r="C59" i="75" s="1"/>
  <c r="D59" i="75" s="1"/>
  <c r="A58" i="75"/>
  <c r="C58" i="75" s="1"/>
  <c r="D58" i="75" s="1"/>
  <c r="A57" i="75"/>
  <c r="C57" i="75" s="1"/>
  <c r="D57" i="75" s="1"/>
  <c r="A56" i="75"/>
  <c r="C56" i="75" s="1"/>
  <c r="D56" i="75" s="1"/>
  <c r="A55" i="75"/>
  <c r="C55" i="75" s="1"/>
  <c r="D55" i="75" s="1"/>
  <c r="A54" i="75"/>
  <c r="C54" i="75" s="1"/>
  <c r="D54" i="75" s="1"/>
  <c r="A53" i="75"/>
  <c r="C53" i="75" s="1"/>
  <c r="D53" i="75" s="1"/>
  <c r="A52" i="75"/>
  <c r="C52" i="75" s="1"/>
  <c r="D52" i="75" s="1"/>
  <c r="A51" i="75"/>
  <c r="C51" i="75" s="1"/>
  <c r="D51" i="75" s="1"/>
  <c r="A50" i="75"/>
  <c r="C50" i="75" s="1"/>
  <c r="D50" i="75" s="1"/>
  <c r="A49" i="75"/>
  <c r="C49" i="75" s="1"/>
  <c r="D49" i="75" s="1"/>
  <c r="A48" i="75"/>
  <c r="C48" i="75" s="1"/>
  <c r="D48" i="75" s="1"/>
  <c r="A47" i="75"/>
  <c r="C47" i="75" s="1"/>
  <c r="D47" i="75" s="1"/>
  <c r="A46" i="75"/>
  <c r="C46" i="75" s="1"/>
  <c r="D46" i="75" s="1"/>
  <c r="A45" i="75"/>
  <c r="C45" i="75" s="1"/>
  <c r="D45" i="75" s="1"/>
  <c r="A44" i="75"/>
  <c r="C44" i="75" s="1"/>
  <c r="D44" i="75" s="1"/>
  <c r="A43" i="75"/>
  <c r="C43" i="75" s="1"/>
  <c r="D43" i="75" s="1"/>
  <c r="A42" i="75"/>
  <c r="C42" i="75" s="1"/>
  <c r="D42" i="75" s="1"/>
  <c r="A41" i="75"/>
  <c r="C41" i="75" s="1"/>
  <c r="D41" i="75" s="1"/>
  <c r="A40" i="75"/>
  <c r="C40" i="75" s="1"/>
  <c r="D40" i="75" s="1"/>
  <c r="A39" i="75"/>
  <c r="C39" i="75" s="1"/>
  <c r="D39" i="75" s="1"/>
  <c r="A38" i="75"/>
  <c r="C38" i="75" s="1"/>
  <c r="D38" i="75" s="1"/>
  <c r="A37" i="75"/>
  <c r="C37" i="75" s="1"/>
  <c r="D37" i="75" s="1"/>
  <c r="A36" i="75"/>
  <c r="C36" i="75" s="1"/>
  <c r="D36" i="75" s="1"/>
  <c r="A35" i="75"/>
  <c r="C35" i="75" s="1"/>
  <c r="D35" i="75" s="1"/>
  <c r="A34" i="75"/>
  <c r="C34" i="75" s="1"/>
  <c r="D34" i="75" s="1"/>
  <c r="A33" i="75"/>
  <c r="C33" i="75" s="1"/>
  <c r="D33" i="75" s="1"/>
  <c r="A32" i="75"/>
  <c r="C32" i="75" s="1"/>
  <c r="D32" i="75" s="1"/>
  <c r="A31" i="75"/>
  <c r="C31" i="75" s="1"/>
  <c r="D31" i="75" s="1"/>
  <c r="A30" i="75"/>
  <c r="C30" i="75" s="1"/>
  <c r="D30" i="75" s="1"/>
  <c r="A29" i="75"/>
  <c r="C29" i="75" s="1"/>
  <c r="D29" i="75" s="1"/>
  <c r="A28" i="75"/>
  <c r="C28" i="75" s="1"/>
  <c r="D28" i="75" s="1"/>
  <c r="C27" i="75"/>
  <c r="D27" i="75" s="1"/>
  <c r="A27" i="75"/>
  <c r="A26" i="75"/>
  <c r="C26" i="75" s="1"/>
  <c r="D26" i="75" s="1"/>
  <c r="A25" i="75"/>
  <c r="C25" i="75" s="1"/>
  <c r="D25" i="75" s="1"/>
  <c r="A24" i="75"/>
  <c r="C24" i="75" s="1"/>
  <c r="D24" i="75" s="1"/>
  <c r="A23" i="75"/>
  <c r="C23" i="75" s="1"/>
  <c r="D23" i="75" s="1"/>
  <c r="A22" i="75"/>
  <c r="C22" i="75" s="1"/>
  <c r="D22" i="75" s="1"/>
  <c r="A21" i="75"/>
  <c r="C21" i="75" s="1"/>
  <c r="D21" i="75" s="1"/>
  <c r="A20" i="75"/>
  <c r="C20" i="75" s="1"/>
  <c r="D20" i="75" s="1"/>
  <c r="A19" i="75"/>
  <c r="C19" i="75" s="1"/>
  <c r="D19" i="75" s="1"/>
  <c r="A18" i="75"/>
  <c r="C18" i="75" s="1"/>
  <c r="D18" i="75" s="1"/>
  <c r="A17" i="75"/>
  <c r="C17" i="75" s="1"/>
  <c r="D17" i="75" s="1"/>
  <c r="A16" i="75"/>
  <c r="C16" i="75" s="1"/>
  <c r="D16" i="75" s="1"/>
  <c r="A15" i="75"/>
  <c r="C15" i="75" s="1"/>
  <c r="D15" i="75" s="1"/>
  <c r="A14" i="75"/>
  <c r="C14" i="75" s="1"/>
  <c r="D14" i="75" s="1"/>
  <c r="A13" i="75"/>
  <c r="C13" i="75" s="1"/>
  <c r="D13" i="75" s="1"/>
  <c r="A12" i="75"/>
  <c r="C12" i="75" s="1"/>
  <c r="D12" i="75" s="1"/>
  <c r="A11" i="75"/>
  <c r="C11" i="75" s="1"/>
  <c r="D11" i="75" s="1"/>
  <c r="A10" i="75"/>
  <c r="C10" i="75" s="1"/>
  <c r="D10" i="75" s="1"/>
  <c r="A9" i="75"/>
  <c r="C9" i="75" s="1"/>
  <c r="D9" i="75" s="1"/>
  <c r="A8" i="75"/>
  <c r="C8" i="75" s="1"/>
  <c r="D8" i="75" s="1"/>
  <c r="A7" i="75"/>
  <c r="C7" i="75" s="1"/>
  <c r="D7" i="75" s="1"/>
  <c r="A6" i="75"/>
  <c r="C6" i="75" s="1"/>
  <c r="D6" i="75" s="1"/>
  <c r="A5" i="75"/>
  <c r="C5" i="75" s="1"/>
  <c r="D5" i="75" s="1"/>
  <c r="C39" i="74"/>
  <c r="D39" i="74" s="1"/>
  <c r="F39" i="74" s="1"/>
  <c r="A39" i="74"/>
  <c r="A38" i="74"/>
  <c r="C38" i="74" s="1"/>
  <c r="D38" i="74" s="1"/>
  <c r="A37" i="74"/>
  <c r="C37" i="74" s="1"/>
  <c r="D37" i="74" s="1"/>
  <c r="C36" i="74"/>
  <c r="D36" i="74" s="1"/>
  <c r="A36" i="74"/>
  <c r="A35" i="74"/>
  <c r="C35" i="74" s="1"/>
  <c r="D35" i="74" s="1"/>
  <c r="A34" i="74"/>
  <c r="C34" i="74" s="1"/>
  <c r="D34" i="74" s="1"/>
  <c r="A33" i="74"/>
  <c r="C33" i="74" s="1"/>
  <c r="D33" i="74" s="1"/>
  <c r="A32" i="74"/>
  <c r="C32" i="74" s="1"/>
  <c r="D32" i="74" s="1"/>
  <c r="A31" i="74"/>
  <c r="C31" i="74" s="1"/>
  <c r="D31" i="74" s="1"/>
  <c r="A30" i="74"/>
  <c r="C30" i="74" s="1"/>
  <c r="D30" i="74" s="1"/>
  <c r="A29" i="74"/>
  <c r="C29" i="74" s="1"/>
  <c r="D29" i="74" s="1"/>
  <c r="A28" i="74"/>
  <c r="C28" i="74" s="1"/>
  <c r="D28" i="74" s="1"/>
  <c r="A27" i="74"/>
  <c r="C27" i="74" s="1"/>
  <c r="D27" i="74" s="1"/>
  <c r="A26" i="74"/>
  <c r="C26" i="74" s="1"/>
  <c r="D26" i="74" s="1"/>
  <c r="A25" i="74"/>
  <c r="C25" i="74" s="1"/>
  <c r="D25" i="74" s="1"/>
  <c r="A24" i="74"/>
  <c r="C24" i="74" s="1"/>
  <c r="D24" i="74" s="1"/>
  <c r="C23" i="74"/>
  <c r="D23" i="74" s="1"/>
  <c r="A23" i="74"/>
  <c r="A22" i="74"/>
  <c r="C22" i="74" s="1"/>
  <c r="D22" i="74" s="1"/>
  <c r="A21" i="74"/>
  <c r="C21" i="74" s="1"/>
  <c r="D21" i="74" s="1"/>
  <c r="C20" i="74"/>
  <c r="D20" i="74" s="1"/>
  <c r="A20" i="74"/>
  <c r="A19" i="74"/>
  <c r="C19" i="74" s="1"/>
  <c r="D19" i="74" s="1"/>
  <c r="A18" i="74"/>
  <c r="C18" i="74" s="1"/>
  <c r="D18" i="74" s="1"/>
  <c r="A17" i="74"/>
  <c r="C17" i="74" s="1"/>
  <c r="D17" i="74" s="1"/>
  <c r="A16" i="74"/>
  <c r="C16" i="74" s="1"/>
  <c r="D16" i="74" s="1"/>
  <c r="A15" i="74"/>
  <c r="C15" i="74" s="1"/>
  <c r="D15" i="74" s="1"/>
  <c r="A14" i="74"/>
  <c r="C14" i="74" s="1"/>
  <c r="D14" i="74" s="1"/>
  <c r="A13" i="74"/>
  <c r="C13" i="74" s="1"/>
  <c r="D13" i="74" s="1"/>
  <c r="A12" i="74"/>
  <c r="C12" i="74" s="1"/>
  <c r="D12" i="74" s="1"/>
  <c r="A11" i="74"/>
  <c r="C11" i="74" s="1"/>
  <c r="D11" i="74" s="1"/>
  <c r="A10" i="74"/>
  <c r="C10" i="74" s="1"/>
  <c r="D10" i="74" s="1"/>
  <c r="A9" i="74"/>
  <c r="C9" i="74" s="1"/>
  <c r="D9" i="74" s="1"/>
  <c r="A8" i="74"/>
  <c r="C8" i="74" s="1"/>
  <c r="D8" i="74" s="1"/>
  <c r="A7" i="74"/>
  <c r="C7" i="74" s="1"/>
  <c r="D7" i="74" s="1"/>
  <c r="A6" i="74"/>
  <c r="C6" i="74" s="1"/>
  <c r="D6" i="74" s="1"/>
  <c r="A5" i="74"/>
  <c r="C5" i="74" s="1"/>
  <c r="D5" i="74" s="1"/>
  <c r="A39" i="73"/>
  <c r="C39" i="73" s="1"/>
  <c r="D39" i="73" s="1"/>
  <c r="F39" i="73" s="1"/>
  <c r="A38" i="73"/>
  <c r="C38" i="73" s="1"/>
  <c r="D38" i="73" s="1"/>
  <c r="A37" i="73"/>
  <c r="C37" i="73" s="1"/>
  <c r="D37" i="73" s="1"/>
  <c r="A36" i="73"/>
  <c r="C36" i="73" s="1"/>
  <c r="D36" i="73" s="1"/>
  <c r="A35" i="73"/>
  <c r="C35" i="73" s="1"/>
  <c r="D35" i="73" s="1"/>
  <c r="A34" i="73"/>
  <c r="C34" i="73" s="1"/>
  <c r="D34" i="73" s="1"/>
  <c r="A33" i="73"/>
  <c r="C33" i="73" s="1"/>
  <c r="D33" i="73" s="1"/>
  <c r="A32" i="73"/>
  <c r="C32" i="73" s="1"/>
  <c r="D32" i="73" s="1"/>
  <c r="A31" i="73"/>
  <c r="C31" i="73" s="1"/>
  <c r="D31" i="73" s="1"/>
  <c r="A30" i="73"/>
  <c r="C30" i="73" s="1"/>
  <c r="D30" i="73" s="1"/>
  <c r="A29" i="73"/>
  <c r="C29" i="73" s="1"/>
  <c r="D29" i="73" s="1"/>
  <c r="A28" i="73"/>
  <c r="C28" i="73" s="1"/>
  <c r="D28" i="73" s="1"/>
  <c r="A27" i="73"/>
  <c r="C27" i="73" s="1"/>
  <c r="D27" i="73" s="1"/>
  <c r="A26" i="73"/>
  <c r="C26" i="73" s="1"/>
  <c r="D26" i="73" s="1"/>
  <c r="A25" i="73"/>
  <c r="C25" i="73" s="1"/>
  <c r="D25" i="73" s="1"/>
  <c r="A24" i="73"/>
  <c r="C24" i="73" s="1"/>
  <c r="D24" i="73" s="1"/>
  <c r="A23" i="73"/>
  <c r="C23" i="73" s="1"/>
  <c r="D23" i="73" s="1"/>
  <c r="A22" i="73"/>
  <c r="C22" i="73" s="1"/>
  <c r="D22" i="73" s="1"/>
  <c r="A21" i="73"/>
  <c r="C21" i="73" s="1"/>
  <c r="D21" i="73" s="1"/>
  <c r="A20" i="73"/>
  <c r="C20" i="73" s="1"/>
  <c r="D20" i="73" s="1"/>
  <c r="A19" i="73"/>
  <c r="C19" i="73" s="1"/>
  <c r="D19" i="73" s="1"/>
  <c r="A18" i="73"/>
  <c r="C18" i="73" s="1"/>
  <c r="D18" i="73" s="1"/>
  <c r="A17" i="73"/>
  <c r="C17" i="73" s="1"/>
  <c r="D17" i="73" s="1"/>
  <c r="A16" i="73"/>
  <c r="C16" i="73" s="1"/>
  <c r="D16" i="73" s="1"/>
  <c r="A15" i="73"/>
  <c r="C15" i="73" s="1"/>
  <c r="D15" i="73" s="1"/>
  <c r="A14" i="73"/>
  <c r="C14" i="73" s="1"/>
  <c r="D14" i="73" s="1"/>
  <c r="A13" i="73"/>
  <c r="C13" i="73" s="1"/>
  <c r="D13" i="73" s="1"/>
  <c r="A12" i="73"/>
  <c r="C12" i="73" s="1"/>
  <c r="D12" i="73" s="1"/>
  <c r="A11" i="73"/>
  <c r="C11" i="73" s="1"/>
  <c r="D11" i="73" s="1"/>
  <c r="A10" i="73"/>
  <c r="C10" i="73" s="1"/>
  <c r="D10" i="73" s="1"/>
  <c r="A9" i="73"/>
  <c r="C9" i="73" s="1"/>
  <c r="D9" i="73" s="1"/>
  <c r="A8" i="73"/>
  <c r="C8" i="73" s="1"/>
  <c r="D8" i="73" s="1"/>
  <c r="A7" i="73"/>
  <c r="C7" i="73" s="1"/>
  <c r="D7" i="73" s="1"/>
  <c r="A6" i="73"/>
  <c r="C6" i="73" s="1"/>
  <c r="D6" i="73" s="1"/>
  <c r="A5" i="73"/>
  <c r="C5" i="73" s="1"/>
  <c r="D5" i="73" s="1"/>
  <c r="A39" i="72"/>
  <c r="C39" i="72" s="1"/>
  <c r="D39" i="72" s="1"/>
  <c r="F39" i="72" s="1"/>
  <c r="A38" i="72"/>
  <c r="C38" i="72" s="1"/>
  <c r="D38" i="72" s="1"/>
  <c r="A37" i="72"/>
  <c r="C37" i="72" s="1"/>
  <c r="D37" i="72" s="1"/>
  <c r="A36" i="72"/>
  <c r="C36" i="72" s="1"/>
  <c r="D36" i="72" s="1"/>
  <c r="A35" i="72"/>
  <c r="C35" i="72" s="1"/>
  <c r="D35" i="72" s="1"/>
  <c r="A34" i="72"/>
  <c r="C34" i="72" s="1"/>
  <c r="D34" i="72" s="1"/>
  <c r="A33" i="72"/>
  <c r="C33" i="72" s="1"/>
  <c r="D33" i="72" s="1"/>
  <c r="A32" i="72"/>
  <c r="C32" i="72" s="1"/>
  <c r="D32" i="72" s="1"/>
  <c r="A31" i="72"/>
  <c r="C31" i="72" s="1"/>
  <c r="D31" i="72" s="1"/>
  <c r="A30" i="72"/>
  <c r="C30" i="72" s="1"/>
  <c r="D30" i="72" s="1"/>
  <c r="A29" i="72"/>
  <c r="C29" i="72" s="1"/>
  <c r="D29" i="72" s="1"/>
  <c r="A28" i="72"/>
  <c r="C28" i="72" s="1"/>
  <c r="D28" i="72" s="1"/>
  <c r="A27" i="72"/>
  <c r="C27" i="72" s="1"/>
  <c r="D27" i="72" s="1"/>
  <c r="A26" i="72"/>
  <c r="C26" i="72" s="1"/>
  <c r="D26" i="72" s="1"/>
  <c r="A25" i="72"/>
  <c r="C25" i="72" s="1"/>
  <c r="D25" i="72" s="1"/>
  <c r="A24" i="72"/>
  <c r="C24" i="72" s="1"/>
  <c r="D24" i="72" s="1"/>
  <c r="A23" i="72"/>
  <c r="C23" i="72" s="1"/>
  <c r="D23" i="72" s="1"/>
  <c r="A22" i="72"/>
  <c r="C22" i="72" s="1"/>
  <c r="D22" i="72" s="1"/>
  <c r="A21" i="72"/>
  <c r="C21" i="72" s="1"/>
  <c r="D21" i="72" s="1"/>
  <c r="A20" i="72"/>
  <c r="C20" i="72" s="1"/>
  <c r="D20" i="72" s="1"/>
  <c r="A19" i="72"/>
  <c r="C19" i="72" s="1"/>
  <c r="D19" i="72" s="1"/>
  <c r="A18" i="72"/>
  <c r="C18" i="72" s="1"/>
  <c r="D18" i="72" s="1"/>
  <c r="A17" i="72"/>
  <c r="C17" i="72" s="1"/>
  <c r="D17" i="72" s="1"/>
  <c r="A16" i="72"/>
  <c r="C16" i="72" s="1"/>
  <c r="D16" i="72" s="1"/>
  <c r="A15" i="72"/>
  <c r="C15" i="72" s="1"/>
  <c r="D15" i="72" s="1"/>
  <c r="A14" i="72"/>
  <c r="C14" i="72" s="1"/>
  <c r="D14" i="72" s="1"/>
  <c r="A13" i="72"/>
  <c r="C13" i="72" s="1"/>
  <c r="D13" i="72" s="1"/>
  <c r="A12" i="72"/>
  <c r="C12" i="72" s="1"/>
  <c r="D12" i="72" s="1"/>
  <c r="A11" i="72"/>
  <c r="C11" i="72" s="1"/>
  <c r="D11" i="72" s="1"/>
  <c r="A10" i="72"/>
  <c r="C10" i="72" s="1"/>
  <c r="D10" i="72" s="1"/>
  <c r="A9" i="72"/>
  <c r="C9" i="72" s="1"/>
  <c r="D9" i="72" s="1"/>
  <c r="A8" i="72"/>
  <c r="C8" i="72" s="1"/>
  <c r="D8" i="72" s="1"/>
  <c r="A7" i="72"/>
  <c r="C7" i="72" s="1"/>
  <c r="D7" i="72" s="1"/>
  <c r="A6" i="72"/>
  <c r="C6" i="72" s="1"/>
  <c r="D6" i="72" s="1"/>
  <c r="A5" i="72"/>
  <c r="C5" i="72" s="1"/>
  <c r="D5" i="72" s="1"/>
  <c r="A39" i="71"/>
  <c r="C39" i="71" s="1"/>
  <c r="D39" i="71" s="1"/>
  <c r="F39" i="71" s="1"/>
  <c r="A38" i="71"/>
  <c r="C38" i="71" s="1"/>
  <c r="D38" i="71" s="1"/>
  <c r="A37" i="71"/>
  <c r="C37" i="71" s="1"/>
  <c r="D37" i="71" s="1"/>
  <c r="A36" i="71"/>
  <c r="C36" i="71" s="1"/>
  <c r="D36" i="71" s="1"/>
  <c r="A35" i="71"/>
  <c r="C35" i="71" s="1"/>
  <c r="D35" i="71" s="1"/>
  <c r="A34" i="71"/>
  <c r="C34" i="71" s="1"/>
  <c r="D34" i="71" s="1"/>
  <c r="A33" i="71"/>
  <c r="C33" i="71" s="1"/>
  <c r="D33" i="71" s="1"/>
  <c r="A32" i="71"/>
  <c r="C32" i="71" s="1"/>
  <c r="D32" i="71" s="1"/>
  <c r="A31" i="71"/>
  <c r="C31" i="71" s="1"/>
  <c r="D31" i="71" s="1"/>
  <c r="A30" i="71"/>
  <c r="C30" i="71" s="1"/>
  <c r="D30" i="71" s="1"/>
  <c r="A29" i="71"/>
  <c r="C29" i="71" s="1"/>
  <c r="D29" i="71" s="1"/>
  <c r="A28" i="71"/>
  <c r="C28" i="71" s="1"/>
  <c r="D28" i="71" s="1"/>
  <c r="A27" i="71"/>
  <c r="C27" i="71" s="1"/>
  <c r="D27" i="71" s="1"/>
  <c r="A26" i="71"/>
  <c r="C26" i="71" s="1"/>
  <c r="D26" i="71" s="1"/>
  <c r="A25" i="71"/>
  <c r="C25" i="71" s="1"/>
  <c r="D25" i="71" s="1"/>
  <c r="C24" i="71"/>
  <c r="D24" i="71" s="1"/>
  <c r="A24" i="71"/>
  <c r="A23" i="71"/>
  <c r="C23" i="71" s="1"/>
  <c r="D23" i="71" s="1"/>
  <c r="A22" i="71"/>
  <c r="C22" i="71" s="1"/>
  <c r="D22" i="71" s="1"/>
  <c r="A21" i="71"/>
  <c r="C21" i="71" s="1"/>
  <c r="D21" i="71" s="1"/>
  <c r="A20" i="71"/>
  <c r="C20" i="71" s="1"/>
  <c r="D20" i="71" s="1"/>
  <c r="A19" i="71"/>
  <c r="C19" i="71" s="1"/>
  <c r="D19" i="71" s="1"/>
  <c r="A18" i="71"/>
  <c r="C18" i="71" s="1"/>
  <c r="D18" i="71" s="1"/>
  <c r="A17" i="71"/>
  <c r="C17" i="71" s="1"/>
  <c r="D17" i="71" s="1"/>
  <c r="A16" i="71"/>
  <c r="C16" i="71" s="1"/>
  <c r="D16" i="71" s="1"/>
  <c r="A15" i="71"/>
  <c r="C15" i="71" s="1"/>
  <c r="D15" i="71" s="1"/>
  <c r="A14" i="71"/>
  <c r="C14" i="71" s="1"/>
  <c r="D14" i="71" s="1"/>
  <c r="A13" i="71"/>
  <c r="C13" i="71" s="1"/>
  <c r="D13" i="71" s="1"/>
  <c r="A12" i="71"/>
  <c r="C12" i="71" s="1"/>
  <c r="D12" i="71" s="1"/>
  <c r="A11" i="71"/>
  <c r="C11" i="71" s="1"/>
  <c r="D11" i="71" s="1"/>
  <c r="A10" i="71"/>
  <c r="C10" i="71" s="1"/>
  <c r="D10" i="71" s="1"/>
  <c r="A9" i="71"/>
  <c r="C9" i="71" s="1"/>
  <c r="D9" i="71" s="1"/>
  <c r="A8" i="71"/>
  <c r="C8" i="71" s="1"/>
  <c r="D8" i="71" s="1"/>
  <c r="A7" i="71"/>
  <c r="C7" i="71" s="1"/>
  <c r="D7" i="71" s="1"/>
  <c r="A6" i="71"/>
  <c r="C6" i="71" s="1"/>
  <c r="D6" i="71" s="1"/>
  <c r="A5" i="71"/>
  <c r="C5" i="71" s="1"/>
  <c r="D5" i="71" s="1"/>
  <c r="A34" i="70"/>
  <c r="C34" i="70" s="1"/>
  <c r="D34" i="70" s="1"/>
  <c r="F34" i="70" s="1"/>
  <c r="A33" i="70"/>
  <c r="C33" i="70" s="1"/>
  <c r="D33" i="70" s="1"/>
  <c r="A32" i="70"/>
  <c r="C32" i="70" s="1"/>
  <c r="D32" i="70" s="1"/>
  <c r="A31" i="70"/>
  <c r="C31" i="70" s="1"/>
  <c r="D31" i="70" s="1"/>
  <c r="A30" i="70"/>
  <c r="C30" i="70" s="1"/>
  <c r="D30" i="70" s="1"/>
  <c r="A29" i="70"/>
  <c r="C29" i="70" s="1"/>
  <c r="D29" i="70" s="1"/>
  <c r="A28" i="70"/>
  <c r="C28" i="70" s="1"/>
  <c r="D28" i="70" s="1"/>
  <c r="A27" i="70"/>
  <c r="C27" i="70" s="1"/>
  <c r="D27" i="70" s="1"/>
  <c r="A26" i="70"/>
  <c r="C26" i="70" s="1"/>
  <c r="D26" i="70" s="1"/>
  <c r="A25" i="70"/>
  <c r="C25" i="70" s="1"/>
  <c r="D25" i="70" s="1"/>
  <c r="A24" i="70"/>
  <c r="C24" i="70" s="1"/>
  <c r="D24" i="70" s="1"/>
  <c r="A23" i="70"/>
  <c r="C23" i="70" s="1"/>
  <c r="D23" i="70" s="1"/>
  <c r="A22" i="70"/>
  <c r="C22" i="70" s="1"/>
  <c r="D22" i="70" s="1"/>
  <c r="A21" i="70"/>
  <c r="C21" i="70" s="1"/>
  <c r="D21" i="70" s="1"/>
  <c r="A20" i="70"/>
  <c r="C20" i="70" s="1"/>
  <c r="D20" i="70" s="1"/>
  <c r="A19" i="70"/>
  <c r="C19" i="70" s="1"/>
  <c r="D19" i="70" s="1"/>
  <c r="A18" i="70"/>
  <c r="C18" i="70" s="1"/>
  <c r="D18" i="70" s="1"/>
  <c r="A17" i="70"/>
  <c r="C17" i="70" s="1"/>
  <c r="D17" i="70" s="1"/>
  <c r="A16" i="70"/>
  <c r="C16" i="70" s="1"/>
  <c r="D16" i="70" s="1"/>
  <c r="A15" i="70"/>
  <c r="C15" i="70" s="1"/>
  <c r="D15" i="70" s="1"/>
  <c r="A14" i="70"/>
  <c r="C14" i="70" s="1"/>
  <c r="D14" i="70" s="1"/>
  <c r="A13" i="70"/>
  <c r="C13" i="70" s="1"/>
  <c r="D13" i="70" s="1"/>
  <c r="A12" i="70"/>
  <c r="C12" i="70" s="1"/>
  <c r="D12" i="70" s="1"/>
  <c r="A11" i="70"/>
  <c r="C11" i="70" s="1"/>
  <c r="D11" i="70" s="1"/>
  <c r="A10" i="70"/>
  <c r="C10" i="70" s="1"/>
  <c r="D10" i="70" s="1"/>
  <c r="A9" i="70"/>
  <c r="C9" i="70" s="1"/>
  <c r="D9" i="70" s="1"/>
  <c r="A8" i="70"/>
  <c r="C8" i="70" s="1"/>
  <c r="D8" i="70" s="1"/>
  <c r="A7" i="70"/>
  <c r="C7" i="70" s="1"/>
  <c r="D7" i="70" s="1"/>
  <c r="A6" i="70"/>
  <c r="C6" i="70" s="1"/>
  <c r="D6" i="70" s="1"/>
  <c r="A5" i="70"/>
  <c r="C5" i="70" s="1"/>
  <c r="D5" i="70" s="1"/>
  <c r="A34" i="69"/>
  <c r="C34" i="69" s="1"/>
  <c r="D34" i="69" s="1"/>
  <c r="F34" i="69" s="1"/>
  <c r="A33" i="69"/>
  <c r="C33" i="69" s="1"/>
  <c r="D33" i="69" s="1"/>
  <c r="A32" i="69"/>
  <c r="C32" i="69" s="1"/>
  <c r="D32" i="69" s="1"/>
  <c r="A31" i="69"/>
  <c r="C31" i="69" s="1"/>
  <c r="D31" i="69" s="1"/>
  <c r="A30" i="69"/>
  <c r="C30" i="69" s="1"/>
  <c r="D30" i="69" s="1"/>
  <c r="A29" i="69"/>
  <c r="C29" i="69" s="1"/>
  <c r="D29" i="69" s="1"/>
  <c r="A28" i="69"/>
  <c r="C28" i="69" s="1"/>
  <c r="D28" i="69" s="1"/>
  <c r="A27" i="69"/>
  <c r="C27" i="69" s="1"/>
  <c r="D27" i="69" s="1"/>
  <c r="A26" i="69"/>
  <c r="C26" i="69" s="1"/>
  <c r="D26" i="69" s="1"/>
  <c r="A25" i="69"/>
  <c r="C25" i="69" s="1"/>
  <c r="D25" i="69" s="1"/>
  <c r="A24" i="69"/>
  <c r="C24" i="69" s="1"/>
  <c r="D24" i="69" s="1"/>
  <c r="A23" i="69"/>
  <c r="C23" i="69" s="1"/>
  <c r="D23" i="69" s="1"/>
  <c r="A22" i="69"/>
  <c r="C22" i="69" s="1"/>
  <c r="D22" i="69" s="1"/>
  <c r="A21" i="69"/>
  <c r="C21" i="69" s="1"/>
  <c r="D21" i="69" s="1"/>
  <c r="A20" i="69"/>
  <c r="C20" i="69" s="1"/>
  <c r="D20" i="69" s="1"/>
  <c r="A19" i="69"/>
  <c r="C19" i="69" s="1"/>
  <c r="D19" i="69" s="1"/>
  <c r="A18" i="69"/>
  <c r="C18" i="69" s="1"/>
  <c r="D18" i="69" s="1"/>
  <c r="A17" i="69"/>
  <c r="C17" i="69" s="1"/>
  <c r="D17" i="69" s="1"/>
  <c r="A16" i="69"/>
  <c r="C16" i="69" s="1"/>
  <c r="D16" i="69" s="1"/>
  <c r="A15" i="69"/>
  <c r="C15" i="69" s="1"/>
  <c r="D15" i="69" s="1"/>
  <c r="A14" i="69"/>
  <c r="C14" i="69" s="1"/>
  <c r="D14" i="69" s="1"/>
  <c r="A13" i="69"/>
  <c r="C13" i="69" s="1"/>
  <c r="D13" i="69" s="1"/>
  <c r="A12" i="69"/>
  <c r="C12" i="69" s="1"/>
  <c r="D12" i="69" s="1"/>
  <c r="A11" i="69"/>
  <c r="C11" i="69" s="1"/>
  <c r="D11" i="69" s="1"/>
  <c r="A10" i="69"/>
  <c r="C10" i="69" s="1"/>
  <c r="D10" i="69" s="1"/>
  <c r="A9" i="69"/>
  <c r="C9" i="69" s="1"/>
  <c r="D9" i="69" s="1"/>
  <c r="A8" i="69"/>
  <c r="C8" i="69" s="1"/>
  <c r="D8" i="69" s="1"/>
  <c r="A7" i="69"/>
  <c r="C7" i="69" s="1"/>
  <c r="D7" i="69" s="1"/>
  <c r="A6" i="69"/>
  <c r="C6" i="69" s="1"/>
  <c r="D6" i="69" s="1"/>
  <c r="A5" i="69"/>
  <c r="C5" i="69" s="1"/>
  <c r="D5" i="69" s="1"/>
  <c r="A34" i="68"/>
  <c r="C34" i="68" s="1"/>
  <c r="D34" i="68" s="1"/>
  <c r="F34" i="68" s="1"/>
  <c r="A33" i="68"/>
  <c r="C33" i="68" s="1"/>
  <c r="D33" i="68" s="1"/>
  <c r="A32" i="68"/>
  <c r="C32" i="68" s="1"/>
  <c r="D32" i="68" s="1"/>
  <c r="A31" i="68"/>
  <c r="C31" i="68" s="1"/>
  <c r="D31" i="68" s="1"/>
  <c r="A30" i="68"/>
  <c r="C30" i="68" s="1"/>
  <c r="D30" i="68" s="1"/>
  <c r="A29" i="68"/>
  <c r="C29" i="68" s="1"/>
  <c r="D29" i="68" s="1"/>
  <c r="A28" i="68"/>
  <c r="C28" i="68" s="1"/>
  <c r="D28" i="68" s="1"/>
  <c r="A27" i="68"/>
  <c r="C27" i="68" s="1"/>
  <c r="D27" i="68" s="1"/>
  <c r="A26" i="68"/>
  <c r="C26" i="68" s="1"/>
  <c r="D26" i="68" s="1"/>
  <c r="A25" i="68"/>
  <c r="C25" i="68" s="1"/>
  <c r="D25" i="68" s="1"/>
  <c r="A24" i="68"/>
  <c r="C24" i="68" s="1"/>
  <c r="D24" i="68" s="1"/>
  <c r="A23" i="68"/>
  <c r="C23" i="68" s="1"/>
  <c r="D23" i="68" s="1"/>
  <c r="A22" i="68"/>
  <c r="C22" i="68" s="1"/>
  <c r="D22" i="68" s="1"/>
  <c r="A21" i="68"/>
  <c r="C21" i="68" s="1"/>
  <c r="D21" i="68" s="1"/>
  <c r="A20" i="68"/>
  <c r="C20" i="68" s="1"/>
  <c r="D20" i="68" s="1"/>
  <c r="A19" i="68"/>
  <c r="C19" i="68" s="1"/>
  <c r="D19" i="68" s="1"/>
  <c r="A18" i="68"/>
  <c r="C18" i="68" s="1"/>
  <c r="D18" i="68" s="1"/>
  <c r="A17" i="68"/>
  <c r="C17" i="68" s="1"/>
  <c r="D17" i="68" s="1"/>
  <c r="A16" i="68"/>
  <c r="C16" i="68" s="1"/>
  <c r="D16" i="68" s="1"/>
  <c r="A15" i="68"/>
  <c r="C15" i="68" s="1"/>
  <c r="D15" i="68" s="1"/>
  <c r="A14" i="68"/>
  <c r="C14" i="68" s="1"/>
  <c r="D14" i="68" s="1"/>
  <c r="A13" i="68"/>
  <c r="C13" i="68" s="1"/>
  <c r="D13" i="68" s="1"/>
  <c r="A12" i="68"/>
  <c r="C12" i="68" s="1"/>
  <c r="D12" i="68" s="1"/>
  <c r="A11" i="68"/>
  <c r="C11" i="68" s="1"/>
  <c r="D11" i="68" s="1"/>
  <c r="A10" i="68"/>
  <c r="C10" i="68" s="1"/>
  <c r="D10" i="68" s="1"/>
  <c r="A9" i="68"/>
  <c r="C9" i="68" s="1"/>
  <c r="D9" i="68" s="1"/>
  <c r="A8" i="68"/>
  <c r="C8" i="68" s="1"/>
  <c r="D8" i="68" s="1"/>
  <c r="A7" i="68"/>
  <c r="C7" i="68" s="1"/>
  <c r="D7" i="68" s="1"/>
  <c r="A6" i="68"/>
  <c r="C6" i="68" s="1"/>
  <c r="D6" i="68" s="1"/>
  <c r="A5" i="68"/>
  <c r="C5" i="68" s="1"/>
  <c r="D5" i="68" s="1"/>
  <c r="A45" i="67"/>
  <c r="C45" i="67" s="1"/>
  <c r="D45" i="67" s="1"/>
  <c r="F45" i="67" s="1"/>
  <c r="A44" i="67"/>
  <c r="C44" i="67" s="1"/>
  <c r="D44" i="67" s="1"/>
  <c r="A43" i="67"/>
  <c r="C43" i="67" s="1"/>
  <c r="D43" i="67" s="1"/>
  <c r="A42" i="67"/>
  <c r="C42" i="67" s="1"/>
  <c r="D42" i="67" s="1"/>
  <c r="A41" i="67"/>
  <c r="C41" i="67" s="1"/>
  <c r="D41" i="67" s="1"/>
  <c r="A40" i="67"/>
  <c r="C40" i="67" s="1"/>
  <c r="D40" i="67" s="1"/>
  <c r="A39" i="67"/>
  <c r="C39" i="67" s="1"/>
  <c r="D39" i="67" s="1"/>
  <c r="A38" i="67"/>
  <c r="C38" i="67" s="1"/>
  <c r="D38" i="67" s="1"/>
  <c r="A37" i="67"/>
  <c r="C37" i="67" s="1"/>
  <c r="D37" i="67" s="1"/>
  <c r="A36" i="67"/>
  <c r="C36" i="67" s="1"/>
  <c r="D36" i="67" s="1"/>
  <c r="A35" i="67"/>
  <c r="C35" i="67" s="1"/>
  <c r="D35" i="67" s="1"/>
  <c r="A34" i="67"/>
  <c r="C34" i="67" s="1"/>
  <c r="D34" i="67" s="1"/>
  <c r="A33" i="67"/>
  <c r="C33" i="67" s="1"/>
  <c r="D33" i="67" s="1"/>
  <c r="A32" i="67"/>
  <c r="C32" i="67" s="1"/>
  <c r="D32" i="67" s="1"/>
  <c r="A31" i="67"/>
  <c r="C31" i="67" s="1"/>
  <c r="D31" i="67" s="1"/>
  <c r="A30" i="67"/>
  <c r="C30" i="67" s="1"/>
  <c r="D30" i="67" s="1"/>
  <c r="A29" i="67"/>
  <c r="C29" i="67" s="1"/>
  <c r="D29" i="67" s="1"/>
  <c r="A28" i="67"/>
  <c r="C28" i="67" s="1"/>
  <c r="D28" i="67" s="1"/>
  <c r="A27" i="67"/>
  <c r="C27" i="67" s="1"/>
  <c r="D27" i="67" s="1"/>
  <c r="A26" i="67"/>
  <c r="C26" i="67" s="1"/>
  <c r="D26" i="67" s="1"/>
  <c r="A25" i="67"/>
  <c r="C25" i="67" s="1"/>
  <c r="D25" i="67" s="1"/>
  <c r="A24" i="67"/>
  <c r="C24" i="67" s="1"/>
  <c r="D24" i="67" s="1"/>
  <c r="A23" i="67"/>
  <c r="C23" i="67" s="1"/>
  <c r="D23" i="67" s="1"/>
  <c r="A22" i="67"/>
  <c r="C22" i="67" s="1"/>
  <c r="D22" i="67" s="1"/>
  <c r="A21" i="67"/>
  <c r="C21" i="67" s="1"/>
  <c r="D21" i="67" s="1"/>
  <c r="A20" i="67"/>
  <c r="C20" i="67" s="1"/>
  <c r="D20" i="67" s="1"/>
  <c r="A19" i="67"/>
  <c r="C19" i="67" s="1"/>
  <c r="D19" i="67" s="1"/>
  <c r="A18" i="67"/>
  <c r="C18" i="67" s="1"/>
  <c r="D18" i="67" s="1"/>
  <c r="A17" i="67"/>
  <c r="C17" i="67" s="1"/>
  <c r="D17" i="67" s="1"/>
  <c r="A16" i="67"/>
  <c r="C16" i="67" s="1"/>
  <c r="D16" i="67" s="1"/>
  <c r="A15" i="67"/>
  <c r="C15" i="67" s="1"/>
  <c r="D15" i="67" s="1"/>
  <c r="A14" i="67"/>
  <c r="C14" i="67" s="1"/>
  <c r="D14" i="67" s="1"/>
  <c r="A13" i="67"/>
  <c r="C13" i="67" s="1"/>
  <c r="D13" i="67" s="1"/>
  <c r="A12" i="67"/>
  <c r="C12" i="67" s="1"/>
  <c r="D12" i="67" s="1"/>
  <c r="A11" i="67"/>
  <c r="C11" i="67" s="1"/>
  <c r="D11" i="67" s="1"/>
  <c r="A10" i="67"/>
  <c r="C10" i="67" s="1"/>
  <c r="D10" i="67" s="1"/>
  <c r="A9" i="67"/>
  <c r="C9" i="67" s="1"/>
  <c r="D9" i="67" s="1"/>
  <c r="A8" i="67"/>
  <c r="C8" i="67" s="1"/>
  <c r="D8" i="67" s="1"/>
  <c r="A7" i="67"/>
  <c r="C7" i="67" s="1"/>
  <c r="D7" i="67" s="1"/>
  <c r="A6" i="67"/>
  <c r="C6" i="67" s="1"/>
  <c r="D6" i="67" s="1"/>
  <c r="A5" i="67"/>
  <c r="C5" i="67" s="1"/>
  <c r="D5" i="67" s="1"/>
  <c r="A45" i="66"/>
  <c r="C45" i="66" s="1"/>
  <c r="D45" i="66" s="1"/>
  <c r="F45" i="66" s="1"/>
  <c r="A44" i="66"/>
  <c r="C44" i="66" s="1"/>
  <c r="D44" i="66" s="1"/>
  <c r="A43" i="66"/>
  <c r="C43" i="66" s="1"/>
  <c r="D43" i="66" s="1"/>
  <c r="A42" i="66"/>
  <c r="C42" i="66" s="1"/>
  <c r="D42" i="66" s="1"/>
  <c r="A41" i="66"/>
  <c r="C41" i="66" s="1"/>
  <c r="D41" i="66" s="1"/>
  <c r="A40" i="66"/>
  <c r="C40" i="66" s="1"/>
  <c r="D40" i="66" s="1"/>
  <c r="A39" i="66"/>
  <c r="C39" i="66" s="1"/>
  <c r="D39" i="66" s="1"/>
  <c r="A38" i="66"/>
  <c r="C38" i="66" s="1"/>
  <c r="D38" i="66" s="1"/>
  <c r="C37" i="66"/>
  <c r="D37" i="66" s="1"/>
  <c r="A37" i="66"/>
  <c r="A36" i="66"/>
  <c r="C36" i="66" s="1"/>
  <c r="D36" i="66" s="1"/>
  <c r="A35" i="66"/>
  <c r="C35" i="66" s="1"/>
  <c r="D35" i="66" s="1"/>
  <c r="A34" i="66"/>
  <c r="C34" i="66" s="1"/>
  <c r="D34" i="66" s="1"/>
  <c r="A33" i="66"/>
  <c r="C33" i="66" s="1"/>
  <c r="D33" i="66" s="1"/>
  <c r="A32" i="66"/>
  <c r="C32" i="66" s="1"/>
  <c r="D32" i="66" s="1"/>
  <c r="A31" i="66"/>
  <c r="C31" i="66" s="1"/>
  <c r="D31" i="66" s="1"/>
  <c r="A30" i="66"/>
  <c r="C30" i="66" s="1"/>
  <c r="D30" i="66" s="1"/>
  <c r="A29" i="66"/>
  <c r="C29" i="66" s="1"/>
  <c r="D29" i="66" s="1"/>
  <c r="A28" i="66"/>
  <c r="C28" i="66" s="1"/>
  <c r="D28" i="66" s="1"/>
  <c r="A27" i="66"/>
  <c r="C27" i="66" s="1"/>
  <c r="D27" i="66" s="1"/>
  <c r="A26" i="66"/>
  <c r="C26" i="66" s="1"/>
  <c r="D26" i="66" s="1"/>
  <c r="A25" i="66"/>
  <c r="C25" i="66" s="1"/>
  <c r="D25" i="66" s="1"/>
  <c r="A24" i="66"/>
  <c r="C24" i="66" s="1"/>
  <c r="D24" i="66" s="1"/>
  <c r="A23" i="66"/>
  <c r="C23" i="66" s="1"/>
  <c r="D23" i="66" s="1"/>
  <c r="A22" i="66"/>
  <c r="C22" i="66" s="1"/>
  <c r="D22" i="66" s="1"/>
  <c r="A21" i="66"/>
  <c r="C21" i="66" s="1"/>
  <c r="D21" i="66" s="1"/>
  <c r="A20" i="66"/>
  <c r="C20" i="66" s="1"/>
  <c r="D20" i="66" s="1"/>
  <c r="A19" i="66"/>
  <c r="C19" i="66" s="1"/>
  <c r="D19" i="66" s="1"/>
  <c r="A18" i="66"/>
  <c r="C18" i="66" s="1"/>
  <c r="D18" i="66" s="1"/>
  <c r="A17" i="66"/>
  <c r="C17" i="66" s="1"/>
  <c r="D17" i="66" s="1"/>
  <c r="A16" i="66"/>
  <c r="C16" i="66" s="1"/>
  <c r="D16" i="66" s="1"/>
  <c r="A15" i="66"/>
  <c r="C15" i="66" s="1"/>
  <c r="D15" i="66" s="1"/>
  <c r="A14" i="66"/>
  <c r="C14" i="66" s="1"/>
  <c r="D14" i="66" s="1"/>
  <c r="A13" i="66"/>
  <c r="C13" i="66" s="1"/>
  <c r="D13" i="66" s="1"/>
  <c r="A12" i="66"/>
  <c r="C12" i="66" s="1"/>
  <c r="D12" i="66" s="1"/>
  <c r="A11" i="66"/>
  <c r="C11" i="66" s="1"/>
  <c r="D11" i="66" s="1"/>
  <c r="A10" i="66"/>
  <c r="C10" i="66" s="1"/>
  <c r="D10" i="66" s="1"/>
  <c r="A9" i="66"/>
  <c r="C9" i="66" s="1"/>
  <c r="D9" i="66" s="1"/>
  <c r="A8" i="66"/>
  <c r="C8" i="66" s="1"/>
  <c r="D8" i="66" s="1"/>
  <c r="A7" i="66"/>
  <c r="C7" i="66" s="1"/>
  <c r="D7" i="66" s="1"/>
  <c r="A6" i="66"/>
  <c r="C6" i="66" s="1"/>
  <c r="D6" i="66" s="1"/>
  <c r="A5" i="66"/>
  <c r="C5" i="66" s="1"/>
  <c r="D5" i="66" s="1"/>
  <c r="A45" i="65"/>
  <c r="C45" i="65" s="1"/>
  <c r="D45" i="65" s="1"/>
  <c r="F45" i="65" s="1"/>
  <c r="A44" i="65"/>
  <c r="C44" i="65" s="1"/>
  <c r="D44" i="65" s="1"/>
  <c r="A43" i="65"/>
  <c r="C43" i="65" s="1"/>
  <c r="D43" i="65" s="1"/>
  <c r="A42" i="65"/>
  <c r="C42" i="65" s="1"/>
  <c r="D42" i="65" s="1"/>
  <c r="A41" i="65"/>
  <c r="C41" i="65" s="1"/>
  <c r="D41" i="65" s="1"/>
  <c r="A40" i="65"/>
  <c r="C40" i="65" s="1"/>
  <c r="D40" i="65" s="1"/>
  <c r="A39" i="65"/>
  <c r="C39" i="65" s="1"/>
  <c r="D39" i="65" s="1"/>
  <c r="A38" i="65"/>
  <c r="C38" i="65" s="1"/>
  <c r="D38" i="65" s="1"/>
  <c r="A37" i="65"/>
  <c r="C37" i="65" s="1"/>
  <c r="D37" i="65" s="1"/>
  <c r="A36" i="65"/>
  <c r="C36" i="65" s="1"/>
  <c r="D36" i="65" s="1"/>
  <c r="A35" i="65"/>
  <c r="C35" i="65" s="1"/>
  <c r="D35" i="65" s="1"/>
  <c r="A34" i="65"/>
  <c r="C34" i="65" s="1"/>
  <c r="D34" i="65" s="1"/>
  <c r="A33" i="65"/>
  <c r="C33" i="65" s="1"/>
  <c r="D33" i="65" s="1"/>
  <c r="A32" i="65"/>
  <c r="C32" i="65" s="1"/>
  <c r="D32" i="65" s="1"/>
  <c r="A31" i="65"/>
  <c r="C31" i="65" s="1"/>
  <c r="D31" i="65" s="1"/>
  <c r="A30" i="65"/>
  <c r="C30" i="65" s="1"/>
  <c r="D30" i="65" s="1"/>
  <c r="A29" i="65"/>
  <c r="C29" i="65" s="1"/>
  <c r="D29" i="65" s="1"/>
  <c r="A28" i="65"/>
  <c r="C28" i="65" s="1"/>
  <c r="D28" i="65" s="1"/>
  <c r="A27" i="65"/>
  <c r="C27" i="65" s="1"/>
  <c r="D27" i="65" s="1"/>
  <c r="A26" i="65"/>
  <c r="C26" i="65" s="1"/>
  <c r="D26" i="65" s="1"/>
  <c r="A25" i="65"/>
  <c r="C25" i="65" s="1"/>
  <c r="D25" i="65" s="1"/>
  <c r="A24" i="65"/>
  <c r="C24" i="65" s="1"/>
  <c r="D24" i="65" s="1"/>
  <c r="A23" i="65"/>
  <c r="C23" i="65" s="1"/>
  <c r="D23" i="65" s="1"/>
  <c r="A22" i="65"/>
  <c r="C22" i="65" s="1"/>
  <c r="D22" i="65" s="1"/>
  <c r="A21" i="65"/>
  <c r="C21" i="65" s="1"/>
  <c r="D21" i="65" s="1"/>
  <c r="A20" i="65"/>
  <c r="C20" i="65" s="1"/>
  <c r="D20" i="65" s="1"/>
  <c r="A19" i="65"/>
  <c r="C19" i="65" s="1"/>
  <c r="D19" i="65" s="1"/>
  <c r="A18" i="65"/>
  <c r="C18" i="65" s="1"/>
  <c r="D18" i="65" s="1"/>
  <c r="A17" i="65"/>
  <c r="C17" i="65" s="1"/>
  <c r="D17" i="65" s="1"/>
  <c r="A16" i="65"/>
  <c r="C16" i="65" s="1"/>
  <c r="D16" i="65" s="1"/>
  <c r="A15" i="65"/>
  <c r="C15" i="65" s="1"/>
  <c r="D15" i="65" s="1"/>
  <c r="A14" i="65"/>
  <c r="C14" i="65" s="1"/>
  <c r="D14" i="65" s="1"/>
  <c r="A13" i="65"/>
  <c r="C13" i="65" s="1"/>
  <c r="D13" i="65" s="1"/>
  <c r="A12" i="65"/>
  <c r="C12" i="65" s="1"/>
  <c r="D12" i="65" s="1"/>
  <c r="A11" i="65"/>
  <c r="C11" i="65" s="1"/>
  <c r="D11" i="65" s="1"/>
  <c r="A10" i="65"/>
  <c r="C10" i="65" s="1"/>
  <c r="D10" i="65" s="1"/>
  <c r="A9" i="65"/>
  <c r="C9" i="65" s="1"/>
  <c r="D9" i="65" s="1"/>
  <c r="A8" i="65"/>
  <c r="C8" i="65" s="1"/>
  <c r="D8" i="65" s="1"/>
  <c r="A7" i="65"/>
  <c r="C7" i="65" s="1"/>
  <c r="D7" i="65" s="1"/>
  <c r="A6" i="65"/>
  <c r="C6" i="65" s="1"/>
  <c r="D6" i="65" s="1"/>
  <c r="A5" i="65"/>
  <c r="C5" i="65" s="1"/>
  <c r="D5" i="65" s="1"/>
  <c r="A50" i="64"/>
  <c r="C50" i="64" s="1"/>
  <c r="D50" i="64" s="1"/>
  <c r="F50" i="64" s="1"/>
  <c r="A49" i="64"/>
  <c r="C49" i="64" s="1"/>
  <c r="D49" i="64" s="1"/>
  <c r="A48" i="64"/>
  <c r="C48" i="64" s="1"/>
  <c r="D48" i="64" s="1"/>
  <c r="A47" i="64"/>
  <c r="C47" i="64" s="1"/>
  <c r="D47" i="64" s="1"/>
  <c r="A46" i="64"/>
  <c r="C46" i="64" s="1"/>
  <c r="D46" i="64" s="1"/>
  <c r="A45" i="64"/>
  <c r="C45" i="64" s="1"/>
  <c r="D45" i="64" s="1"/>
  <c r="A44" i="64"/>
  <c r="C44" i="64" s="1"/>
  <c r="D44" i="64" s="1"/>
  <c r="A43" i="64"/>
  <c r="C43" i="64" s="1"/>
  <c r="D43" i="64" s="1"/>
  <c r="A42" i="64"/>
  <c r="C42" i="64" s="1"/>
  <c r="D42" i="64" s="1"/>
  <c r="A41" i="64"/>
  <c r="C41" i="64" s="1"/>
  <c r="D41" i="64" s="1"/>
  <c r="A40" i="64"/>
  <c r="C40" i="64" s="1"/>
  <c r="D40" i="64" s="1"/>
  <c r="A39" i="64"/>
  <c r="C39" i="64" s="1"/>
  <c r="D39" i="64" s="1"/>
  <c r="A38" i="64"/>
  <c r="C38" i="64" s="1"/>
  <c r="D38" i="64" s="1"/>
  <c r="A37" i="64"/>
  <c r="C37" i="64" s="1"/>
  <c r="D37" i="64" s="1"/>
  <c r="A36" i="64"/>
  <c r="C36" i="64" s="1"/>
  <c r="D36" i="64" s="1"/>
  <c r="A35" i="64"/>
  <c r="C35" i="64" s="1"/>
  <c r="D35" i="64" s="1"/>
  <c r="A34" i="64"/>
  <c r="C34" i="64" s="1"/>
  <c r="D34" i="64" s="1"/>
  <c r="A33" i="64"/>
  <c r="C33" i="64" s="1"/>
  <c r="D33" i="64" s="1"/>
  <c r="A32" i="64"/>
  <c r="C32" i="64" s="1"/>
  <c r="D32" i="64" s="1"/>
  <c r="A31" i="64"/>
  <c r="C31" i="64" s="1"/>
  <c r="D31" i="64" s="1"/>
  <c r="A30" i="64"/>
  <c r="C30" i="64" s="1"/>
  <c r="D30" i="64" s="1"/>
  <c r="A29" i="64"/>
  <c r="C29" i="64" s="1"/>
  <c r="D29" i="64" s="1"/>
  <c r="A28" i="64"/>
  <c r="C28" i="64" s="1"/>
  <c r="D28" i="64" s="1"/>
  <c r="A27" i="64"/>
  <c r="C27" i="64" s="1"/>
  <c r="D27" i="64" s="1"/>
  <c r="A26" i="64"/>
  <c r="C26" i="64" s="1"/>
  <c r="D26" i="64" s="1"/>
  <c r="A25" i="64"/>
  <c r="C25" i="64" s="1"/>
  <c r="D25" i="64" s="1"/>
  <c r="A24" i="64"/>
  <c r="C24" i="64" s="1"/>
  <c r="D24" i="64" s="1"/>
  <c r="A23" i="64"/>
  <c r="C23" i="64" s="1"/>
  <c r="D23" i="64" s="1"/>
  <c r="A22" i="64"/>
  <c r="C22" i="64" s="1"/>
  <c r="D22" i="64" s="1"/>
  <c r="A21" i="64"/>
  <c r="C21" i="64" s="1"/>
  <c r="D21" i="64" s="1"/>
  <c r="A20" i="64"/>
  <c r="C20" i="64" s="1"/>
  <c r="D20" i="64" s="1"/>
  <c r="A19" i="64"/>
  <c r="C19" i="64" s="1"/>
  <c r="D19" i="64" s="1"/>
  <c r="A18" i="64"/>
  <c r="C18" i="64" s="1"/>
  <c r="D18" i="64" s="1"/>
  <c r="A17" i="64"/>
  <c r="C17" i="64" s="1"/>
  <c r="D17" i="64" s="1"/>
  <c r="A16" i="64"/>
  <c r="C16" i="64" s="1"/>
  <c r="D16" i="64" s="1"/>
  <c r="A15" i="64"/>
  <c r="C15" i="64" s="1"/>
  <c r="D15" i="64" s="1"/>
  <c r="A14" i="64"/>
  <c r="C14" i="64" s="1"/>
  <c r="D14" i="64" s="1"/>
  <c r="A13" i="64"/>
  <c r="C13" i="64" s="1"/>
  <c r="D13" i="64" s="1"/>
  <c r="A12" i="64"/>
  <c r="C12" i="64" s="1"/>
  <c r="D12" i="64" s="1"/>
  <c r="A11" i="64"/>
  <c r="C11" i="64" s="1"/>
  <c r="D11" i="64" s="1"/>
  <c r="A10" i="64"/>
  <c r="C10" i="64" s="1"/>
  <c r="D10" i="64" s="1"/>
  <c r="A9" i="64"/>
  <c r="C9" i="64" s="1"/>
  <c r="D9" i="64" s="1"/>
  <c r="A8" i="64"/>
  <c r="C8" i="64" s="1"/>
  <c r="D8" i="64" s="1"/>
  <c r="A7" i="64"/>
  <c r="C7" i="64" s="1"/>
  <c r="D7" i="64" s="1"/>
  <c r="A6" i="64"/>
  <c r="C6" i="64" s="1"/>
  <c r="D6" i="64" s="1"/>
  <c r="A5" i="64"/>
  <c r="C5" i="64" s="1"/>
  <c r="D5" i="64" s="1"/>
  <c r="A34" i="63"/>
  <c r="C34" i="63" s="1"/>
  <c r="D34" i="63" s="1"/>
  <c r="F34" i="63" s="1"/>
  <c r="A33" i="63"/>
  <c r="C33" i="63" s="1"/>
  <c r="D33" i="63" s="1"/>
  <c r="A32" i="63"/>
  <c r="C32" i="63" s="1"/>
  <c r="D32" i="63" s="1"/>
  <c r="A31" i="63"/>
  <c r="C31" i="63" s="1"/>
  <c r="D31" i="63" s="1"/>
  <c r="A30" i="63"/>
  <c r="C30" i="63" s="1"/>
  <c r="D30" i="63" s="1"/>
  <c r="A29" i="63"/>
  <c r="C29" i="63" s="1"/>
  <c r="D29" i="63" s="1"/>
  <c r="A28" i="63"/>
  <c r="C28" i="63" s="1"/>
  <c r="D28" i="63" s="1"/>
  <c r="A27" i="63"/>
  <c r="C27" i="63" s="1"/>
  <c r="D27" i="63" s="1"/>
  <c r="A26" i="63"/>
  <c r="C26" i="63" s="1"/>
  <c r="D26" i="63" s="1"/>
  <c r="A25" i="63"/>
  <c r="C25" i="63" s="1"/>
  <c r="D25" i="63" s="1"/>
  <c r="A24" i="63"/>
  <c r="C24" i="63" s="1"/>
  <c r="D24" i="63" s="1"/>
  <c r="A23" i="63"/>
  <c r="C23" i="63" s="1"/>
  <c r="D23" i="63" s="1"/>
  <c r="A22" i="63"/>
  <c r="C22" i="63" s="1"/>
  <c r="D22" i="63" s="1"/>
  <c r="A21" i="63"/>
  <c r="C21" i="63" s="1"/>
  <c r="D21" i="63" s="1"/>
  <c r="A20" i="63"/>
  <c r="C20" i="63" s="1"/>
  <c r="D20" i="63" s="1"/>
  <c r="A19" i="63"/>
  <c r="C19" i="63" s="1"/>
  <c r="D19" i="63" s="1"/>
  <c r="A18" i="63"/>
  <c r="C18" i="63" s="1"/>
  <c r="D18" i="63" s="1"/>
  <c r="A17" i="63"/>
  <c r="C17" i="63" s="1"/>
  <c r="D17" i="63" s="1"/>
  <c r="A16" i="63"/>
  <c r="C16" i="63" s="1"/>
  <c r="D16" i="63" s="1"/>
  <c r="A15" i="63"/>
  <c r="C15" i="63" s="1"/>
  <c r="D15" i="63" s="1"/>
  <c r="A14" i="63"/>
  <c r="C14" i="63" s="1"/>
  <c r="D14" i="63" s="1"/>
  <c r="A13" i="63"/>
  <c r="C13" i="63" s="1"/>
  <c r="D13" i="63" s="1"/>
  <c r="A12" i="63"/>
  <c r="C12" i="63" s="1"/>
  <c r="D12" i="63" s="1"/>
  <c r="A11" i="63"/>
  <c r="C11" i="63" s="1"/>
  <c r="D11" i="63" s="1"/>
  <c r="A10" i="63"/>
  <c r="C10" i="63" s="1"/>
  <c r="D10" i="63" s="1"/>
  <c r="A9" i="63"/>
  <c r="C9" i="63" s="1"/>
  <c r="D9" i="63" s="1"/>
  <c r="A8" i="63"/>
  <c r="C8" i="63" s="1"/>
  <c r="D8" i="63" s="1"/>
  <c r="A7" i="63"/>
  <c r="C7" i="63" s="1"/>
  <c r="D7" i="63" s="1"/>
  <c r="A6" i="63"/>
  <c r="C6" i="63" s="1"/>
  <c r="D6" i="63" s="1"/>
  <c r="A5" i="63"/>
  <c r="C5" i="63" s="1"/>
  <c r="D5" i="63" s="1"/>
  <c r="A45" i="62"/>
  <c r="C45" i="62" s="1"/>
  <c r="D45" i="62" s="1"/>
  <c r="F45" i="62" s="1"/>
  <c r="A44" i="62"/>
  <c r="C44" i="62" s="1"/>
  <c r="D44" i="62" s="1"/>
  <c r="A43" i="62"/>
  <c r="C43" i="62" s="1"/>
  <c r="D43" i="62" s="1"/>
  <c r="A42" i="62"/>
  <c r="C42" i="62" s="1"/>
  <c r="D42" i="62" s="1"/>
  <c r="A41" i="62"/>
  <c r="C41" i="62" s="1"/>
  <c r="D41" i="62" s="1"/>
  <c r="A40" i="62"/>
  <c r="C40" i="62" s="1"/>
  <c r="D40" i="62" s="1"/>
  <c r="A39" i="62"/>
  <c r="C39" i="62" s="1"/>
  <c r="D39" i="62" s="1"/>
  <c r="A38" i="62"/>
  <c r="C38" i="62" s="1"/>
  <c r="D38" i="62" s="1"/>
  <c r="A37" i="62"/>
  <c r="C37" i="62" s="1"/>
  <c r="D37" i="62" s="1"/>
  <c r="A36" i="62"/>
  <c r="C36" i="62" s="1"/>
  <c r="D36" i="62" s="1"/>
  <c r="A35" i="62"/>
  <c r="C35" i="62" s="1"/>
  <c r="D35" i="62" s="1"/>
  <c r="A34" i="62"/>
  <c r="C34" i="62" s="1"/>
  <c r="D34" i="62" s="1"/>
  <c r="A33" i="62"/>
  <c r="C33" i="62" s="1"/>
  <c r="D33" i="62" s="1"/>
  <c r="A32" i="62"/>
  <c r="C32" i="62" s="1"/>
  <c r="D32" i="62" s="1"/>
  <c r="A31" i="62"/>
  <c r="C31" i="62" s="1"/>
  <c r="D31" i="62" s="1"/>
  <c r="A30" i="62"/>
  <c r="C30" i="62" s="1"/>
  <c r="D30" i="62" s="1"/>
  <c r="A29" i="62"/>
  <c r="C29" i="62" s="1"/>
  <c r="D29" i="62" s="1"/>
  <c r="A28" i="62"/>
  <c r="C28" i="62" s="1"/>
  <c r="D28" i="62" s="1"/>
  <c r="A27" i="62"/>
  <c r="C27" i="62" s="1"/>
  <c r="D27" i="62" s="1"/>
  <c r="A26" i="62"/>
  <c r="C26" i="62" s="1"/>
  <c r="D26" i="62" s="1"/>
  <c r="A25" i="62"/>
  <c r="C25" i="62" s="1"/>
  <c r="D25" i="62" s="1"/>
  <c r="A24" i="62"/>
  <c r="C24" i="62" s="1"/>
  <c r="D24" i="62" s="1"/>
  <c r="A23" i="62"/>
  <c r="C23" i="62" s="1"/>
  <c r="D23" i="62" s="1"/>
  <c r="A22" i="62"/>
  <c r="C22" i="62" s="1"/>
  <c r="D22" i="62" s="1"/>
  <c r="A21" i="62"/>
  <c r="C21" i="62" s="1"/>
  <c r="D21" i="62" s="1"/>
  <c r="A20" i="62"/>
  <c r="C20" i="62" s="1"/>
  <c r="D20" i="62" s="1"/>
  <c r="A19" i="62"/>
  <c r="C19" i="62" s="1"/>
  <c r="D19" i="62" s="1"/>
  <c r="A18" i="62"/>
  <c r="C18" i="62" s="1"/>
  <c r="D18" i="62" s="1"/>
  <c r="A17" i="62"/>
  <c r="C17" i="62" s="1"/>
  <c r="D17" i="62" s="1"/>
  <c r="A16" i="62"/>
  <c r="C16" i="62" s="1"/>
  <c r="D16" i="62" s="1"/>
  <c r="A15" i="62"/>
  <c r="C15" i="62" s="1"/>
  <c r="D15" i="62" s="1"/>
  <c r="A14" i="62"/>
  <c r="C14" i="62" s="1"/>
  <c r="D14" i="62" s="1"/>
  <c r="A13" i="62"/>
  <c r="C13" i="62" s="1"/>
  <c r="D13" i="62" s="1"/>
  <c r="A12" i="62"/>
  <c r="C12" i="62" s="1"/>
  <c r="D12" i="62" s="1"/>
  <c r="A11" i="62"/>
  <c r="C11" i="62" s="1"/>
  <c r="D11" i="62" s="1"/>
  <c r="A10" i="62"/>
  <c r="C10" i="62" s="1"/>
  <c r="D10" i="62" s="1"/>
  <c r="A9" i="62"/>
  <c r="C9" i="62" s="1"/>
  <c r="D9" i="62" s="1"/>
  <c r="A8" i="62"/>
  <c r="C8" i="62" s="1"/>
  <c r="D8" i="62" s="1"/>
  <c r="A7" i="62"/>
  <c r="C7" i="62" s="1"/>
  <c r="D7" i="62" s="1"/>
  <c r="A6" i="62"/>
  <c r="C6" i="62" s="1"/>
  <c r="D6" i="62" s="1"/>
  <c r="A5" i="62"/>
  <c r="C5" i="62" s="1"/>
  <c r="D5" i="62" s="1"/>
  <c r="E10" i="62" s="1"/>
  <c r="E11" i="62" s="1"/>
  <c r="E12" i="62" s="1"/>
  <c r="E13" i="62" s="1"/>
  <c r="E14" i="62" s="1"/>
  <c r="E15" i="62" s="1"/>
  <c r="E16" i="62" s="1"/>
  <c r="E17" i="62" s="1"/>
  <c r="E18" i="62" s="1"/>
  <c r="E19" i="62" s="1"/>
  <c r="E20" i="62" s="1"/>
  <c r="E21" i="62" s="1"/>
  <c r="E22" i="62" s="1"/>
  <c r="E23" i="62" s="1"/>
  <c r="E24" i="62" s="1"/>
  <c r="E25" i="62" s="1"/>
  <c r="E26" i="62" s="1"/>
  <c r="E27" i="62" s="1"/>
  <c r="E28" i="62" s="1"/>
  <c r="E29" i="62" s="1"/>
  <c r="E30" i="62" s="1"/>
  <c r="E31" i="62" s="1"/>
  <c r="E32" i="62" s="1"/>
  <c r="E33" i="62" s="1"/>
  <c r="E34" i="62" s="1"/>
  <c r="E35" i="62" s="1"/>
  <c r="E36" i="62" s="1"/>
  <c r="E37" i="62" s="1"/>
  <c r="E38" i="62" s="1"/>
  <c r="E39" i="62" s="1"/>
  <c r="E40" i="62" s="1"/>
  <c r="E41" i="62" s="1"/>
  <c r="E42" i="62" s="1"/>
  <c r="E43" i="62" s="1"/>
  <c r="E44" i="62" s="1"/>
  <c r="E45" i="62" s="1"/>
  <c r="A50" i="61"/>
  <c r="C50" i="61" s="1"/>
  <c r="D50" i="61" s="1"/>
  <c r="F50" i="61" s="1"/>
  <c r="A49" i="61"/>
  <c r="C49" i="61" s="1"/>
  <c r="D49" i="61" s="1"/>
  <c r="A48" i="61"/>
  <c r="C48" i="61" s="1"/>
  <c r="D48" i="61" s="1"/>
  <c r="A47" i="61"/>
  <c r="C47" i="61" s="1"/>
  <c r="D47" i="61" s="1"/>
  <c r="A46" i="61"/>
  <c r="C46" i="61" s="1"/>
  <c r="D46" i="61" s="1"/>
  <c r="A45" i="61"/>
  <c r="C45" i="61" s="1"/>
  <c r="D45" i="61" s="1"/>
  <c r="A44" i="61"/>
  <c r="C44" i="61" s="1"/>
  <c r="D44" i="61" s="1"/>
  <c r="A43" i="61"/>
  <c r="C43" i="61" s="1"/>
  <c r="D43" i="61" s="1"/>
  <c r="A42" i="61"/>
  <c r="C42" i="61" s="1"/>
  <c r="D42" i="61" s="1"/>
  <c r="A41" i="61"/>
  <c r="C41" i="61" s="1"/>
  <c r="D41" i="61" s="1"/>
  <c r="A40" i="61"/>
  <c r="C40" i="61" s="1"/>
  <c r="D40" i="61" s="1"/>
  <c r="A39" i="61"/>
  <c r="C39" i="61" s="1"/>
  <c r="D39" i="61" s="1"/>
  <c r="A38" i="61"/>
  <c r="C38" i="61" s="1"/>
  <c r="D38" i="61" s="1"/>
  <c r="A37" i="61"/>
  <c r="C37" i="61" s="1"/>
  <c r="D37" i="61" s="1"/>
  <c r="A36" i="61"/>
  <c r="C36" i="61" s="1"/>
  <c r="D36" i="61" s="1"/>
  <c r="A35" i="61"/>
  <c r="C35" i="61" s="1"/>
  <c r="D35" i="61" s="1"/>
  <c r="A34" i="61"/>
  <c r="C34" i="61" s="1"/>
  <c r="D34" i="61" s="1"/>
  <c r="A33" i="61"/>
  <c r="C33" i="61" s="1"/>
  <c r="D33" i="61" s="1"/>
  <c r="A32" i="61"/>
  <c r="C32" i="61" s="1"/>
  <c r="D32" i="61" s="1"/>
  <c r="A31" i="61"/>
  <c r="C31" i="61" s="1"/>
  <c r="D31" i="61" s="1"/>
  <c r="A30" i="61"/>
  <c r="C30" i="61" s="1"/>
  <c r="D30" i="61" s="1"/>
  <c r="A29" i="61"/>
  <c r="C29" i="61" s="1"/>
  <c r="D29" i="61" s="1"/>
  <c r="A28" i="61"/>
  <c r="C28" i="61" s="1"/>
  <c r="D28" i="61" s="1"/>
  <c r="A27" i="61"/>
  <c r="C27" i="61" s="1"/>
  <c r="D27" i="61" s="1"/>
  <c r="A26" i="61"/>
  <c r="C26" i="61" s="1"/>
  <c r="D26" i="61" s="1"/>
  <c r="A25" i="61"/>
  <c r="C25" i="61" s="1"/>
  <c r="D25" i="61" s="1"/>
  <c r="A24" i="61"/>
  <c r="C24" i="61" s="1"/>
  <c r="D24" i="61" s="1"/>
  <c r="A23" i="61"/>
  <c r="C23" i="61" s="1"/>
  <c r="D23" i="61" s="1"/>
  <c r="A22" i="61"/>
  <c r="C22" i="61" s="1"/>
  <c r="D22" i="61" s="1"/>
  <c r="A21" i="61"/>
  <c r="C21" i="61" s="1"/>
  <c r="D21" i="61" s="1"/>
  <c r="A20" i="61"/>
  <c r="C20" i="61" s="1"/>
  <c r="D20" i="61" s="1"/>
  <c r="A19" i="61"/>
  <c r="C19" i="61" s="1"/>
  <c r="D19" i="61" s="1"/>
  <c r="A18" i="61"/>
  <c r="C18" i="61" s="1"/>
  <c r="D18" i="61" s="1"/>
  <c r="A17" i="61"/>
  <c r="C17" i="61" s="1"/>
  <c r="D17" i="61" s="1"/>
  <c r="A16" i="61"/>
  <c r="C16" i="61" s="1"/>
  <c r="D16" i="61" s="1"/>
  <c r="A15" i="61"/>
  <c r="C15" i="61" s="1"/>
  <c r="D15" i="61" s="1"/>
  <c r="A14" i="61"/>
  <c r="C14" i="61" s="1"/>
  <c r="D14" i="61" s="1"/>
  <c r="A13" i="61"/>
  <c r="C13" i="61" s="1"/>
  <c r="D13" i="61" s="1"/>
  <c r="A12" i="61"/>
  <c r="C12" i="61" s="1"/>
  <c r="D12" i="61" s="1"/>
  <c r="A11" i="61"/>
  <c r="C11" i="61" s="1"/>
  <c r="D11" i="61" s="1"/>
  <c r="A10" i="61"/>
  <c r="C10" i="61" s="1"/>
  <c r="D10" i="61" s="1"/>
  <c r="A9" i="61"/>
  <c r="C9" i="61" s="1"/>
  <c r="D9" i="61" s="1"/>
  <c r="A8" i="61"/>
  <c r="C8" i="61" s="1"/>
  <c r="D8" i="61" s="1"/>
  <c r="A7" i="61"/>
  <c r="C7" i="61" s="1"/>
  <c r="D7" i="61" s="1"/>
  <c r="A6" i="61"/>
  <c r="C6" i="61" s="1"/>
  <c r="D6" i="61" s="1"/>
  <c r="A5" i="61"/>
  <c r="C5" i="61" s="1"/>
  <c r="D5" i="61" s="1"/>
  <c r="A50" i="60"/>
  <c r="C50" i="60" s="1"/>
  <c r="D50" i="60" s="1"/>
  <c r="F50" i="60" s="1"/>
  <c r="A49" i="60"/>
  <c r="C49" i="60" s="1"/>
  <c r="D49" i="60" s="1"/>
  <c r="A48" i="60"/>
  <c r="C48" i="60" s="1"/>
  <c r="D48" i="60" s="1"/>
  <c r="A47" i="60"/>
  <c r="C47" i="60" s="1"/>
  <c r="D47" i="60" s="1"/>
  <c r="A46" i="60"/>
  <c r="C46" i="60" s="1"/>
  <c r="D46" i="60" s="1"/>
  <c r="A45" i="60"/>
  <c r="C45" i="60" s="1"/>
  <c r="D45" i="60" s="1"/>
  <c r="A44" i="60"/>
  <c r="C44" i="60" s="1"/>
  <c r="D44" i="60" s="1"/>
  <c r="A43" i="60"/>
  <c r="C43" i="60" s="1"/>
  <c r="D43" i="60" s="1"/>
  <c r="A42" i="60"/>
  <c r="C42" i="60" s="1"/>
  <c r="D42" i="60" s="1"/>
  <c r="A41" i="60"/>
  <c r="C41" i="60" s="1"/>
  <c r="D41" i="60" s="1"/>
  <c r="A40" i="60"/>
  <c r="C40" i="60" s="1"/>
  <c r="D40" i="60" s="1"/>
  <c r="A39" i="60"/>
  <c r="C39" i="60" s="1"/>
  <c r="D39" i="60" s="1"/>
  <c r="A38" i="60"/>
  <c r="C38" i="60" s="1"/>
  <c r="D38" i="60" s="1"/>
  <c r="A37" i="60"/>
  <c r="C37" i="60" s="1"/>
  <c r="D37" i="60" s="1"/>
  <c r="A36" i="60"/>
  <c r="C36" i="60" s="1"/>
  <c r="D36" i="60" s="1"/>
  <c r="A35" i="60"/>
  <c r="C35" i="60" s="1"/>
  <c r="D35" i="60" s="1"/>
  <c r="A34" i="60"/>
  <c r="C34" i="60" s="1"/>
  <c r="D34" i="60" s="1"/>
  <c r="A33" i="60"/>
  <c r="C33" i="60" s="1"/>
  <c r="D33" i="60" s="1"/>
  <c r="A32" i="60"/>
  <c r="C32" i="60" s="1"/>
  <c r="D32" i="60" s="1"/>
  <c r="A31" i="60"/>
  <c r="C31" i="60" s="1"/>
  <c r="D31" i="60" s="1"/>
  <c r="A30" i="60"/>
  <c r="C30" i="60" s="1"/>
  <c r="D30" i="60" s="1"/>
  <c r="A29" i="60"/>
  <c r="C29" i="60" s="1"/>
  <c r="D29" i="60" s="1"/>
  <c r="A28" i="60"/>
  <c r="C28" i="60" s="1"/>
  <c r="D28" i="60" s="1"/>
  <c r="A27" i="60"/>
  <c r="C27" i="60" s="1"/>
  <c r="D27" i="60" s="1"/>
  <c r="A26" i="60"/>
  <c r="C26" i="60" s="1"/>
  <c r="D26" i="60" s="1"/>
  <c r="A25" i="60"/>
  <c r="C25" i="60" s="1"/>
  <c r="D25" i="60" s="1"/>
  <c r="A24" i="60"/>
  <c r="C24" i="60" s="1"/>
  <c r="D24" i="60" s="1"/>
  <c r="A23" i="60"/>
  <c r="C23" i="60" s="1"/>
  <c r="D23" i="60" s="1"/>
  <c r="A22" i="60"/>
  <c r="C22" i="60" s="1"/>
  <c r="D22" i="60" s="1"/>
  <c r="A21" i="60"/>
  <c r="C21" i="60" s="1"/>
  <c r="D21" i="60" s="1"/>
  <c r="A20" i="60"/>
  <c r="C20" i="60" s="1"/>
  <c r="D20" i="60" s="1"/>
  <c r="A19" i="60"/>
  <c r="C19" i="60" s="1"/>
  <c r="D19" i="60" s="1"/>
  <c r="A18" i="60"/>
  <c r="C18" i="60" s="1"/>
  <c r="D18" i="60" s="1"/>
  <c r="A17" i="60"/>
  <c r="C17" i="60" s="1"/>
  <c r="D17" i="60" s="1"/>
  <c r="A16" i="60"/>
  <c r="C16" i="60" s="1"/>
  <c r="D16" i="60" s="1"/>
  <c r="A15" i="60"/>
  <c r="C15" i="60" s="1"/>
  <c r="D15" i="60" s="1"/>
  <c r="A14" i="60"/>
  <c r="C14" i="60" s="1"/>
  <c r="D14" i="60" s="1"/>
  <c r="A13" i="60"/>
  <c r="C13" i="60" s="1"/>
  <c r="D13" i="60" s="1"/>
  <c r="A12" i="60"/>
  <c r="C12" i="60" s="1"/>
  <c r="D12" i="60" s="1"/>
  <c r="A11" i="60"/>
  <c r="C11" i="60" s="1"/>
  <c r="D11" i="60" s="1"/>
  <c r="A10" i="60"/>
  <c r="C10" i="60" s="1"/>
  <c r="D10" i="60" s="1"/>
  <c r="A9" i="60"/>
  <c r="C9" i="60" s="1"/>
  <c r="D9" i="60" s="1"/>
  <c r="A8" i="60"/>
  <c r="C8" i="60" s="1"/>
  <c r="D8" i="60" s="1"/>
  <c r="A7" i="60"/>
  <c r="C7" i="60" s="1"/>
  <c r="D7" i="60" s="1"/>
  <c r="A6" i="60"/>
  <c r="C6" i="60" s="1"/>
  <c r="D6" i="60" s="1"/>
  <c r="A5" i="60"/>
  <c r="C5" i="60" s="1"/>
  <c r="D5" i="60" s="1"/>
  <c r="E15" i="60" s="1"/>
  <c r="E16" i="60" s="1"/>
  <c r="E17" i="60" s="1"/>
  <c r="E18" i="60" s="1"/>
  <c r="E19" i="60" s="1"/>
  <c r="E20" i="60" s="1"/>
  <c r="E21" i="60" s="1"/>
  <c r="E22" i="60" s="1"/>
  <c r="E23" i="60" s="1"/>
  <c r="E24" i="60" s="1"/>
  <c r="E25" i="60" s="1"/>
  <c r="E26" i="60" s="1"/>
  <c r="E27" i="60" s="1"/>
  <c r="E28" i="60" s="1"/>
  <c r="E29" i="60" s="1"/>
  <c r="E30" i="60" s="1"/>
  <c r="E31" i="60" s="1"/>
  <c r="E32" i="60" s="1"/>
  <c r="E33" i="60" s="1"/>
  <c r="E34" i="60" s="1"/>
  <c r="E35" i="60" s="1"/>
  <c r="E36" i="60" s="1"/>
  <c r="E37" i="60" s="1"/>
  <c r="E38" i="60" s="1"/>
  <c r="E39" i="60" s="1"/>
  <c r="E40" i="60" s="1"/>
  <c r="E41" i="60" s="1"/>
  <c r="E42" i="60" s="1"/>
  <c r="E43" i="60" s="1"/>
  <c r="E44" i="60" s="1"/>
  <c r="E45" i="60" s="1"/>
  <c r="E46" i="60" s="1"/>
  <c r="E47" i="60" s="1"/>
  <c r="E48" i="60" s="1"/>
  <c r="E49" i="60" s="1"/>
  <c r="E50" i="60" s="1"/>
  <c r="A55" i="59"/>
  <c r="C55" i="59" s="1"/>
  <c r="D55" i="59" s="1"/>
  <c r="F55" i="59" s="1"/>
  <c r="A54" i="59"/>
  <c r="C54" i="59" s="1"/>
  <c r="D54" i="59" s="1"/>
  <c r="A53" i="59"/>
  <c r="C53" i="59" s="1"/>
  <c r="D53" i="59" s="1"/>
  <c r="A52" i="59"/>
  <c r="C52" i="59" s="1"/>
  <c r="D52" i="59" s="1"/>
  <c r="A51" i="59"/>
  <c r="C51" i="59" s="1"/>
  <c r="D51" i="59" s="1"/>
  <c r="A50" i="59"/>
  <c r="C50" i="59" s="1"/>
  <c r="D50" i="59" s="1"/>
  <c r="A49" i="59"/>
  <c r="C49" i="59" s="1"/>
  <c r="D49" i="59" s="1"/>
  <c r="A48" i="59"/>
  <c r="C48" i="59" s="1"/>
  <c r="D48" i="59" s="1"/>
  <c r="A47" i="59"/>
  <c r="C47" i="59" s="1"/>
  <c r="D47" i="59" s="1"/>
  <c r="A46" i="59"/>
  <c r="C46" i="59" s="1"/>
  <c r="D46" i="59" s="1"/>
  <c r="A45" i="59"/>
  <c r="C45" i="59" s="1"/>
  <c r="D45" i="59" s="1"/>
  <c r="A44" i="59"/>
  <c r="C44" i="59" s="1"/>
  <c r="D44" i="59" s="1"/>
  <c r="A43" i="59"/>
  <c r="C43" i="59" s="1"/>
  <c r="D43" i="59" s="1"/>
  <c r="A42" i="59"/>
  <c r="C42" i="59" s="1"/>
  <c r="D42" i="59" s="1"/>
  <c r="A41" i="59"/>
  <c r="C41" i="59" s="1"/>
  <c r="D41" i="59" s="1"/>
  <c r="A40" i="59"/>
  <c r="C40" i="59" s="1"/>
  <c r="D40" i="59" s="1"/>
  <c r="A39" i="59"/>
  <c r="C39" i="59" s="1"/>
  <c r="D39" i="59" s="1"/>
  <c r="A38" i="59"/>
  <c r="C38" i="59" s="1"/>
  <c r="D38" i="59" s="1"/>
  <c r="A37" i="59"/>
  <c r="C37" i="59" s="1"/>
  <c r="D37" i="59" s="1"/>
  <c r="A36" i="59"/>
  <c r="C36" i="59" s="1"/>
  <c r="D36" i="59" s="1"/>
  <c r="A35" i="59"/>
  <c r="C35" i="59" s="1"/>
  <c r="D35" i="59" s="1"/>
  <c r="A34" i="59"/>
  <c r="C34" i="59" s="1"/>
  <c r="D34" i="59" s="1"/>
  <c r="A33" i="59"/>
  <c r="C33" i="59" s="1"/>
  <c r="D33" i="59" s="1"/>
  <c r="A32" i="59"/>
  <c r="C32" i="59" s="1"/>
  <c r="D32" i="59" s="1"/>
  <c r="A31" i="59"/>
  <c r="C31" i="59" s="1"/>
  <c r="D31" i="59" s="1"/>
  <c r="A30" i="59"/>
  <c r="C30" i="59" s="1"/>
  <c r="D30" i="59" s="1"/>
  <c r="A29" i="59"/>
  <c r="C29" i="59" s="1"/>
  <c r="D29" i="59" s="1"/>
  <c r="A28" i="59"/>
  <c r="C28" i="59" s="1"/>
  <c r="D28" i="59" s="1"/>
  <c r="A27" i="59"/>
  <c r="C27" i="59" s="1"/>
  <c r="D27" i="59" s="1"/>
  <c r="A26" i="59"/>
  <c r="C26" i="59" s="1"/>
  <c r="D26" i="59" s="1"/>
  <c r="A25" i="59"/>
  <c r="C25" i="59" s="1"/>
  <c r="D25" i="59" s="1"/>
  <c r="A24" i="59"/>
  <c r="C24" i="59" s="1"/>
  <c r="D24" i="59" s="1"/>
  <c r="A23" i="59"/>
  <c r="C23" i="59" s="1"/>
  <c r="D23" i="59" s="1"/>
  <c r="A22" i="59"/>
  <c r="C22" i="59" s="1"/>
  <c r="D22" i="59" s="1"/>
  <c r="A21" i="59"/>
  <c r="C21" i="59" s="1"/>
  <c r="D21" i="59" s="1"/>
  <c r="A20" i="59"/>
  <c r="C20" i="59" s="1"/>
  <c r="D20" i="59" s="1"/>
  <c r="A19" i="59"/>
  <c r="C19" i="59" s="1"/>
  <c r="D19" i="59" s="1"/>
  <c r="A18" i="59"/>
  <c r="C18" i="59" s="1"/>
  <c r="D18" i="59" s="1"/>
  <c r="A17" i="59"/>
  <c r="C17" i="59" s="1"/>
  <c r="D17" i="59" s="1"/>
  <c r="A16" i="59"/>
  <c r="C16" i="59" s="1"/>
  <c r="D16" i="59" s="1"/>
  <c r="A15" i="59"/>
  <c r="C15" i="59" s="1"/>
  <c r="D15" i="59" s="1"/>
  <c r="A14" i="59"/>
  <c r="C14" i="59" s="1"/>
  <c r="D14" i="59" s="1"/>
  <c r="A13" i="59"/>
  <c r="C13" i="59" s="1"/>
  <c r="D13" i="59" s="1"/>
  <c r="A12" i="59"/>
  <c r="C12" i="59" s="1"/>
  <c r="D12" i="59" s="1"/>
  <c r="A11" i="59"/>
  <c r="C11" i="59" s="1"/>
  <c r="D11" i="59" s="1"/>
  <c r="A10" i="59"/>
  <c r="C10" i="59" s="1"/>
  <c r="D10" i="59" s="1"/>
  <c r="A9" i="59"/>
  <c r="C9" i="59" s="1"/>
  <c r="D9" i="59" s="1"/>
  <c r="A8" i="59"/>
  <c r="C8" i="59" s="1"/>
  <c r="D8" i="59" s="1"/>
  <c r="A7" i="59"/>
  <c r="C7" i="59" s="1"/>
  <c r="D7" i="59" s="1"/>
  <c r="A6" i="59"/>
  <c r="C6" i="59" s="1"/>
  <c r="D6" i="59" s="1"/>
  <c r="A5" i="59"/>
  <c r="C5" i="59" s="1"/>
  <c r="D5" i="59" s="1"/>
  <c r="E25" i="67" l="1"/>
  <c r="E26" i="67" s="1"/>
  <c r="E27" i="67" s="1"/>
  <c r="E28" i="67" s="1"/>
  <c r="E29" i="67" s="1"/>
  <c r="E30" i="67" s="1"/>
  <c r="E31" i="67" s="1"/>
  <c r="E32" i="67" s="1"/>
  <c r="E33" i="67" s="1"/>
  <c r="E34" i="67" s="1"/>
  <c r="E35" i="67" s="1"/>
  <c r="E36" i="67" s="1"/>
  <c r="E37" i="67" s="1"/>
  <c r="E38" i="67" s="1"/>
  <c r="E39" i="67" s="1"/>
  <c r="E40" i="67" s="1"/>
  <c r="E41" i="67" s="1"/>
  <c r="E42" i="67" s="1"/>
  <c r="E43" i="67" s="1"/>
  <c r="E44" i="67" s="1"/>
  <c r="E45" i="67" s="1"/>
  <c r="E20" i="75"/>
  <c r="E21" i="75" s="1"/>
  <c r="E22" i="75" s="1"/>
  <c r="E23" i="75" s="1"/>
  <c r="E24" i="75" s="1"/>
  <c r="E25" i="75" s="1"/>
  <c r="E26" i="75" s="1"/>
  <c r="E27" i="75" s="1"/>
  <c r="E28" i="75" s="1"/>
  <c r="E29" i="75" s="1"/>
  <c r="E30" i="75" s="1"/>
  <c r="E31" i="75" s="1"/>
  <c r="E32" i="75" s="1"/>
  <c r="E33" i="75" s="1"/>
  <c r="E34" i="75" s="1"/>
  <c r="E35" i="75" s="1"/>
  <c r="E36" i="75" s="1"/>
  <c r="E37" i="75" s="1"/>
  <c r="E38" i="75" s="1"/>
  <c r="E39" i="75" s="1"/>
  <c r="E40" i="75" s="1"/>
  <c r="E41" i="75" s="1"/>
  <c r="E42" i="75" s="1"/>
  <c r="E43" i="75" s="1"/>
  <c r="E44" i="75" s="1"/>
  <c r="E45" i="75" s="1"/>
  <c r="E46" i="75" s="1"/>
  <c r="E47" i="75" s="1"/>
  <c r="E48" i="75" s="1"/>
  <c r="E49" i="75" s="1"/>
  <c r="E50" i="75" s="1"/>
  <c r="E51" i="75" s="1"/>
  <c r="E52" i="75" s="1"/>
  <c r="E53" i="75" s="1"/>
  <c r="E54" i="75" s="1"/>
  <c r="E55" i="75" s="1"/>
  <c r="E56" i="75" s="1"/>
  <c r="E57" i="75" s="1"/>
  <c r="E58" i="75" s="1"/>
  <c r="E59" i="75" s="1"/>
  <c r="E60" i="75" s="1"/>
  <c r="E61" i="75" s="1"/>
  <c r="E62" i="75" s="1"/>
  <c r="E63" i="75" s="1"/>
  <c r="E64" i="75" s="1"/>
  <c r="E65" i="75" s="1"/>
  <c r="E66" i="75" s="1"/>
  <c r="E67" i="75" s="1"/>
  <c r="E68" i="75" s="1"/>
  <c r="E69" i="75" s="1"/>
  <c r="E70" i="75" s="1"/>
  <c r="E20" i="59"/>
  <c r="E21" i="59" s="1"/>
  <c r="E22" i="59" s="1"/>
  <c r="E23" i="59" s="1"/>
  <c r="E24" i="59" s="1"/>
  <c r="E25" i="59" s="1"/>
  <c r="E26" i="59" s="1"/>
  <c r="E27" i="59" s="1"/>
  <c r="E28" i="59" s="1"/>
  <c r="E29" i="59" s="1"/>
  <c r="E30" i="59" s="1"/>
  <c r="E31" i="59" s="1"/>
  <c r="E32" i="59" s="1"/>
  <c r="E33" i="59" s="1"/>
  <c r="E34" i="59" s="1"/>
  <c r="E35" i="59" s="1"/>
  <c r="E36" i="59" s="1"/>
  <c r="E37" i="59" s="1"/>
  <c r="E38" i="59" s="1"/>
  <c r="E39" i="59" s="1"/>
  <c r="E40" i="59" s="1"/>
  <c r="E41" i="59" s="1"/>
  <c r="E42" i="59" s="1"/>
  <c r="E43" i="59" s="1"/>
  <c r="E44" i="59" s="1"/>
  <c r="E45" i="59" s="1"/>
  <c r="E46" i="59" s="1"/>
  <c r="E47" i="59" s="1"/>
  <c r="E48" i="59" s="1"/>
  <c r="E49" i="59" s="1"/>
  <c r="E50" i="59" s="1"/>
  <c r="E51" i="59" s="1"/>
  <c r="E52" i="59" s="1"/>
  <c r="E53" i="59" s="1"/>
  <c r="E54" i="59" s="1"/>
  <c r="E55" i="59" s="1"/>
  <c r="E10" i="63"/>
  <c r="E11" i="63" s="1"/>
  <c r="E12" i="63" s="1"/>
  <c r="E13" i="63" s="1"/>
  <c r="E14" i="63" s="1"/>
  <c r="E15" i="63" s="1"/>
  <c r="E16" i="63" s="1"/>
  <c r="E17" i="63" s="1"/>
  <c r="E18" i="63" s="1"/>
  <c r="E19" i="63" s="1"/>
  <c r="E20" i="63" s="1"/>
  <c r="E21" i="63" s="1"/>
  <c r="E22" i="63" s="1"/>
  <c r="E23" i="63" s="1"/>
  <c r="E24" i="63" s="1"/>
  <c r="E25" i="63" s="1"/>
  <c r="E26" i="63" s="1"/>
  <c r="E27" i="63" s="1"/>
  <c r="E28" i="63" s="1"/>
  <c r="E29" i="63" s="1"/>
  <c r="E30" i="63" s="1"/>
  <c r="E31" i="63" s="1"/>
  <c r="E32" i="63" s="1"/>
  <c r="E33" i="63" s="1"/>
  <c r="E34" i="63" s="1"/>
  <c r="E15" i="65"/>
  <c r="E16" i="65" s="1"/>
  <c r="E17" i="65" s="1"/>
  <c r="E18" i="65" s="1"/>
  <c r="E19" i="65" s="1"/>
  <c r="E20" i="65" s="1"/>
  <c r="E21" i="65" s="1"/>
  <c r="E22" i="65" s="1"/>
  <c r="E23" i="65" s="1"/>
  <c r="E24" i="65" s="1"/>
  <c r="E25" i="65" s="1"/>
  <c r="E26" i="65" s="1"/>
  <c r="E27" i="65" s="1"/>
  <c r="E28" i="65" s="1"/>
  <c r="E29" i="65" s="1"/>
  <c r="E30" i="65" s="1"/>
  <c r="E31" i="65" s="1"/>
  <c r="E32" i="65" s="1"/>
  <c r="E33" i="65" s="1"/>
  <c r="E34" i="65" s="1"/>
  <c r="E35" i="65" s="1"/>
  <c r="E36" i="65" s="1"/>
  <c r="E37" i="65" s="1"/>
  <c r="E38" i="65" s="1"/>
  <c r="E39" i="65" s="1"/>
  <c r="E40" i="65" s="1"/>
  <c r="E41" i="65" s="1"/>
  <c r="E42" i="65" s="1"/>
  <c r="E43" i="65" s="1"/>
  <c r="E44" i="65" s="1"/>
  <c r="E45" i="65" s="1"/>
  <c r="E15" i="68"/>
  <c r="E16" i="68" s="1"/>
  <c r="E17" i="68" s="1"/>
  <c r="E18" i="68" s="1"/>
  <c r="E19" i="68" s="1"/>
  <c r="E20" i="68" s="1"/>
  <c r="E21" i="68" s="1"/>
  <c r="E22" i="68" s="1"/>
  <c r="E23" i="68" s="1"/>
  <c r="E24" i="68" s="1"/>
  <c r="E25" i="68" s="1"/>
  <c r="E26" i="68" s="1"/>
  <c r="E27" i="68" s="1"/>
  <c r="E28" i="68" s="1"/>
  <c r="E29" i="68" s="1"/>
  <c r="E30" i="68" s="1"/>
  <c r="E31" i="68" s="1"/>
  <c r="E32" i="68" s="1"/>
  <c r="E33" i="68" s="1"/>
  <c r="E34" i="68" s="1"/>
  <c r="E25" i="70"/>
  <c r="E26" i="70" s="1"/>
  <c r="E27" i="70" s="1"/>
  <c r="E28" i="70" s="1"/>
  <c r="E29" i="70" s="1"/>
  <c r="E30" i="70" s="1"/>
  <c r="E31" i="70" s="1"/>
  <c r="E32" i="70" s="1"/>
  <c r="E33" i="70" s="1"/>
  <c r="E34" i="70" s="1"/>
  <c r="E25" i="74"/>
  <c r="E26" i="74" s="1"/>
  <c r="E27" i="74" s="1"/>
  <c r="E28" i="74" s="1"/>
  <c r="E29" i="74" s="1"/>
  <c r="E30" i="74" s="1"/>
  <c r="E31" i="74" s="1"/>
  <c r="E32" i="74" s="1"/>
  <c r="E33" i="74" s="1"/>
  <c r="E34" i="74" s="1"/>
  <c r="E35" i="74" s="1"/>
  <c r="E36" i="74" s="1"/>
  <c r="E37" i="74" s="1"/>
  <c r="E38" i="74" s="1"/>
  <c r="E39" i="74" s="1"/>
  <c r="E20" i="77"/>
  <c r="E21" i="77" s="1"/>
  <c r="E22" i="77" s="1"/>
  <c r="E23" i="77" s="1"/>
  <c r="E24" i="77" s="1"/>
  <c r="E25" i="77" s="1"/>
  <c r="E26" i="77" s="1"/>
  <c r="E27" i="77" s="1"/>
  <c r="E28" i="77" s="1"/>
  <c r="E29" i="77" s="1"/>
  <c r="E30" i="77" s="1"/>
  <c r="E31" i="77" s="1"/>
  <c r="E32" i="77" s="1"/>
  <c r="E33" i="77" s="1"/>
  <c r="E34" i="77" s="1"/>
  <c r="E35" i="77" s="1"/>
  <c r="E36" i="77" s="1"/>
  <c r="E37" i="77" s="1"/>
  <c r="E38" i="77" s="1"/>
  <c r="E39" i="77" s="1"/>
  <c r="E40" i="77" s="1"/>
  <c r="E41" i="77" s="1"/>
  <c r="E42" i="77" s="1"/>
  <c r="E43" i="77" s="1"/>
  <c r="E44" i="77" s="1"/>
  <c r="E45" i="77" s="1"/>
  <c r="E46" i="77" s="1"/>
  <c r="E47" i="77" s="1"/>
  <c r="E48" i="77" s="1"/>
  <c r="E49" i="77" s="1"/>
  <c r="E50" i="77" s="1"/>
  <c r="E51" i="77" s="1"/>
  <c r="E52" i="77" s="1"/>
  <c r="E53" i="77" s="1"/>
  <c r="E54" i="77" s="1"/>
  <c r="E55" i="77" s="1"/>
  <c r="E56" i="77" s="1"/>
  <c r="E57" i="77" s="1"/>
  <c r="E58" i="77" s="1"/>
  <c r="E59" i="77" s="1"/>
  <c r="E60" i="77" s="1"/>
  <c r="E20" i="61"/>
  <c r="E21" i="61" s="1"/>
  <c r="E22" i="61" s="1"/>
  <c r="E23" i="61" s="1"/>
  <c r="E24" i="61" s="1"/>
  <c r="E25" i="61" s="1"/>
  <c r="E26" i="61" s="1"/>
  <c r="E27" i="61" s="1"/>
  <c r="E28" i="61" s="1"/>
  <c r="E29" i="61" s="1"/>
  <c r="E30" i="61" s="1"/>
  <c r="E31" i="61" s="1"/>
  <c r="E32" i="61" s="1"/>
  <c r="E33" i="61" s="1"/>
  <c r="E34" i="61" s="1"/>
  <c r="E35" i="61" s="1"/>
  <c r="E36" i="61" s="1"/>
  <c r="E37" i="61" s="1"/>
  <c r="E38" i="61" s="1"/>
  <c r="E39" i="61" s="1"/>
  <c r="E40" i="61" s="1"/>
  <c r="E41" i="61" s="1"/>
  <c r="E42" i="61" s="1"/>
  <c r="E43" i="61" s="1"/>
  <c r="E44" i="61" s="1"/>
  <c r="E45" i="61" s="1"/>
  <c r="E46" i="61" s="1"/>
  <c r="E47" i="61" s="1"/>
  <c r="E48" i="61" s="1"/>
  <c r="E49" i="61" s="1"/>
  <c r="E50" i="61" s="1"/>
  <c r="E20" i="66"/>
  <c r="E21" i="66" s="1"/>
  <c r="E22" i="66" s="1"/>
  <c r="E23" i="66" s="1"/>
  <c r="E24" i="66" s="1"/>
  <c r="E25" i="66" s="1"/>
  <c r="E26" i="66" s="1"/>
  <c r="E27" i="66" s="1"/>
  <c r="E28" i="66" s="1"/>
  <c r="E29" i="66" s="1"/>
  <c r="E30" i="66" s="1"/>
  <c r="E31" i="66" s="1"/>
  <c r="E32" i="66" s="1"/>
  <c r="E33" i="66" s="1"/>
  <c r="E34" i="66" s="1"/>
  <c r="E35" i="66" s="1"/>
  <c r="E36" i="66" s="1"/>
  <c r="E37" i="66" s="1"/>
  <c r="E38" i="66" s="1"/>
  <c r="E39" i="66" s="1"/>
  <c r="E40" i="66" s="1"/>
  <c r="E41" i="66" s="1"/>
  <c r="E42" i="66" s="1"/>
  <c r="E43" i="66" s="1"/>
  <c r="E44" i="66" s="1"/>
  <c r="E45" i="66" s="1"/>
  <c r="E20" i="73"/>
  <c r="E21" i="73" s="1"/>
  <c r="E22" i="73" s="1"/>
  <c r="E23" i="73" s="1"/>
  <c r="E24" i="73" s="1"/>
  <c r="E25" i="73" s="1"/>
  <c r="E26" i="73" s="1"/>
  <c r="E27" i="73" s="1"/>
  <c r="E28" i="73" s="1"/>
  <c r="E29" i="73" s="1"/>
  <c r="E30" i="73" s="1"/>
  <c r="E31" i="73" s="1"/>
  <c r="E32" i="73" s="1"/>
  <c r="E33" i="73" s="1"/>
  <c r="E34" i="73" s="1"/>
  <c r="E35" i="73" s="1"/>
  <c r="E36" i="73" s="1"/>
  <c r="E37" i="73" s="1"/>
  <c r="E38" i="73" s="1"/>
  <c r="E39" i="73" s="1"/>
  <c r="E25" i="64"/>
  <c r="E26" i="64" s="1"/>
  <c r="E27" i="64" s="1"/>
  <c r="E28" i="64" s="1"/>
  <c r="E29" i="64" s="1"/>
  <c r="E30" i="64" s="1"/>
  <c r="E31" i="64" s="1"/>
  <c r="E32" i="64" s="1"/>
  <c r="E33" i="64" s="1"/>
  <c r="E34" i="64" s="1"/>
  <c r="E35" i="64" s="1"/>
  <c r="E36" i="64" s="1"/>
  <c r="E37" i="64" s="1"/>
  <c r="E38" i="64" s="1"/>
  <c r="E39" i="64" s="1"/>
  <c r="E40" i="64" s="1"/>
  <c r="E41" i="64" s="1"/>
  <c r="E42" i="64" s="1"/>
  <c r="E43" i="64" s="1"/>
  <c r="E44" i="64" s="1"/>
  <c r="E45" i="64" s="1"/>
  <c r="E46" i="64" s="1"/>
  <c r="E47" i="64" s="1"/>
  <c r="E48" i="64" s="1"/>
  <c r="E49" i="64" s="1"/>
  <c r="E50" i="64" s="1"/>
  <c r="E20" i="69"/>
  <c r="E21" i="69" s="1"/>
  <c r="E22" i="69" s="1"/>
  <c r="E23" i="69" s="1"/>
  <c r="E24" i="69" s="1"/>
  <c r="E25" i="69" s="1"/>
  <c r="E26" i="69" s="1"/>
  <c r="E27" i="69" s="1"/>
  <c r="E28" i="69" s="1"/>
  <c r="E29" i="69" s="1"/>
  <c r="E30" i="69" s="1"/>
  <c r="E31" i="69" s="1"/>
  <c r="E32" i="69" s="1"/>
  <c r="E33" i="69" s="1"/>
  <c r="E34" i="69" s="1"/>
  <c r="E10" i="71"/>
  <c r="E11" i="71" s="1"/>
  <c r="E12" i="71" s="1"/>
  <c r="E13" i="71" s="1"/>
  <c r="E14" i="71" s="1"/>
  <c r="E15" i="71" s="1"/>
  <c r="E16" i="71" s="1"/>
  <c r="E17" i="71" s="1"/>
  <c r="E18" i="71" s="1"/>
  <c r="E19" i="71" s="1"/>
  <c r="E20" i="71" s="1"/>
  <c r="E21" i="71" s="1"/>
  <c r="E22" i="71" s="1"/>
  <c r="E23" i="71" s="1"/>
  <c r="E24" i="71" s="1"/>
  <c r="E25" i="71" s="1"/>
  <c r="E26" i="71" s="1"/>
  <c r="E27" i="71" s="1"/>
  <c r="E28" i="71" s="1"/>
  <c r="E29" i="71" s="1"/>
  <c r="E30" i="71" s="1"/>
  <c r="E31" i="71" s="1"/>
  <c r="E32" i="71" s="1"/>
  <c r="E33" i="71" s="1"/>
  <c r="E34" i="71" s="1"/>
  <c r="E35" i="71" s="1"/>
  <c r="E36" i="71" s="1"/>
  <c r="E37" i="71" s="1"/>
  <c r="E38" i="71" s="1"/>
  <c r="E39" i="71" s="1"/>
  <c r="E15" i="72"/>
  <c r="E16" i="72" s="1"/>
  <c r="E17" i="72" s="1"/>
  <c r="E18" i="72" s="1"/>
  <c r="E19" i="72" s="1"/>
  <c r="E20" i="72" s="1"/>
  <c r="E21" i="72" s="1"/>
  <c r="E22" i="72" s="1"/>
  <c r="E23" i="72" s="1"/>
  <c r="E24" i="72" s="1"/>
  <c r="E25" i="72" s="1"/>
  <c r="E26" i="72" s="1"/>
  <c r="E27" i="72" s="1"/>
  <c r="E28" i="72" s="1"/>
  <c r="E29" i="72" s="1"/>
  <c r="E30" i="72" s="1"/>
  <c r="E31" i="72" s="1"/>
  <c r="E32" i="72" s="1"/>
  <c r="E33" i="72" s="1"/>
  <c r="E34" i="72" s="1"/>
  <c r="E35" i="72" s="1"/>
  <c r="E36" i="72" s="1"/>
  <c r="E37" i="72" s="1"/>
  <c r="E38" i="72" s="1"/>
  <c r="E39" i="72" s="1"/>
  <c r="E20" i="76"/>
  <c r="E21" i="76" s="1"/>
  <c r="E22" i="76" s="1"/>
  <c r="E23" i="76" s="1"/>
  <c r="E24" i="76" s="1"/>
  <c r="E25" i="76" s="1"/>
  <c r="E26" i="76" s="1"/>
  <c r="E27" i="76" s="1"/>
  <c r="E28" i="76" s="1"/>
  <c r="E29" i="76" s="1"/>
  <c r="E30" i="76" s="1"/>
  <c r="E31" i="76" s="1"/>
  <c r="E32" i="76" s="1"/>
  <c r="E33" i="76" s="1"/>
  <c r="E34" i="76" s="1"/>
  <c r="E35" i="76" s="1"/>
  <c r="E36" i="76" s="1"/>
  <c r="E37" i="76" s="1"/>
  <c r="E38" i="76" s="1"/>
  <c r="E39" i="76" s="1"/>
  <c r="E40" i="76" s="1"/>
  <c r="E41" i="76" s="1"/>
  <c r="E42" i="76" s="1"/>
  <c r="E43" i="76" s="1"/>
  <c r="E44" i="76" s="1"/>
  <c r="E45" i="76" s="1"/>
  <c r="E46" i="76" s="1"/>
  <c r="E47" i="76" s="1"/>
  <c r="E48" i="76" s="1"/>
  <c r="E49" i="76" s="1"/>
  <c r="E50" i="76" s="1"/>
  <c r="E51" i="76" s="1"/>
  <c r="E52" i="76" s="1"/>
  <c r="E53" i="76" s="1"/>
  <c r="E54" i="76" s="1"/>
  <c r="E55" i="76" s="1"/>
  <c r="E56" i="76" s="1"/>
  <c r="E57" i="76" s="1"/>
  <c r="E58" i="76" s="1"/>
  <c r="E59" i="76" s="1"/>
  <c r="E60" i="76" s="1"/>
  <c r="E61" i="76" s="1"/>
  <c r="E62" i="76" s="1"/>
  <c r="E63" i="76" s="1"/>
  <c r="E64" i="76" s="1"/>
  <c r="L7" i="26"/>
  <c r="I8" i="26"/>
  <c r="J8" i="26" s="1"/>
  <c r="I7" i="82"/>
  <c r="J7" i="82" s="1"/>
  <c r="L6" i="82"/>
  <c r="L6" i="81"/>
  <c r="I7" i="81"/>
  <c r="J7" i="81" s="1"/>
  <c r="E10" i="80"/>
  <c r="F2" i="76"/>
  <c r="F2" i="59"/>
  <c r="F2" i="77"/>
  <c r="F6" i="75"/>
  <c r="F8" i="75"/>
  <c r="F12" i="75"/>
  <c r="F18" i="75"/>
  <c r="F22" i="75"/>
  <c r="F25" i="75"/>
  <c r="F27" i="75"/>
  <c r="F32" i="75"/>
  <c r="F38" i="75"/>
  <c r="F41" i="75"/>
  <c r="F43" i="75"/>
  <c r="F48" i="75"/>
  <c r="F54" i="75"/>
  <c r="F57" i="75"/>
  <c r="F62" i="75"/>
  <c r="F64" i="75"/>
  <c r="F67" i="75"/>
  <c r="F7" i="75"/>
  <c r="F10" i="75"/>
  <c r="F14" i="75"/>
  <c r="F17" i="75"/>
  <c r="F19" i="75"/>
  <c r="F21" i="75"/>
  <c r="F23" i="75"/>
  <c r="F28" i="75"/>
  <c r="F34" i="75"/>
  <c r="F37" i="75"/>
  <c r="F39" i="75"/>
  <c r="F44" i="75"/>
  <c r="F50" i="75"/>
  <c r="F53" i="75"/>
  <c r="F55" i="75"/>
  <c r="F61" i="75"/>
  <c r="F66" i="75"/>
  <c r="F68" i="75"/>
  <c r="F11" i="75"/>
  <c r="F13" i="75"/>
  <c r="F15" i="75"/>
  <c r="F24" i="75"/>
  <c r="F30" i="75"/>
  <c r="F33" i="75"/>
  <c r="F35" i="75"/>
  <c r="F40" i="75"/>
  <c r="F46" i="75"/>
  <c r="F49" i="75"/>
  <c r="F51" i="75"/>
  <c r="F56" i="75"/>
  <c r="F59" i="75"/>
  <c r="F65" i="75"/>
  <c r="F9" i="75"/>
  <c r="F16" i="75"/>
  <c r="F20" i="75"/>
  <c r="F26" i="75"/>
  <c r="F29" i="75"/>
  <c r="F31" i="75"/>
  <c r="F36" i="75"/>
  <c r="F42" i="75"/>
  <c r="F45" i="75"/>
  <c r="F47" i="75"/>
  <c r="F52" i="75"/>
  <c r="F58" i="75"/>
  <c r="F60" i="75"/>
  <c r="F63" i="75"/>
  <c r="F69" i="75"/>
  <c r="F5" i="75"/>
  <c r="G5" i="75" s="1"/>
  <c r="A34" i="35"/>
  <c r="C34" i="35" s="1"/>
  <c r="D34" i="35" s="1"/>
  <c r="F34" i="35" s="1"/>
  <c r="A33" i="35"/>
  <c r="C33" i="35" s="1"/>
  <c r="D33" i="35" s="1"/>
  <c r="A32" i="35"/>
  <c r="C32" i="35" s="1"/>
  <c r="D32" i="35" s="1"/>
  <c r="A31" i="35"/>
  <c r="C31" i="35" s="1"/>
  <c r="D31" i="35" s="1"/>
  <c r="A30" i="35"/>
  <c r="C30" i="35" s="1"/>
  <c r="D30" i="35" s="1"/>
  <c r="A29" i="35"/>
  <c r="C29" i="35" s="1"/>
  <c r="D29" i="35" s="1"/>
  <c r="A28" i="35"/>
  <c r="C28" i="35" s="1"/>
  <c r="D28" i="35" s="1"/>
  <c r="A27" i="35"/>
  <c r="C27" i="35" s="1"/>
  <c r="D27" i="35" s="1"/>
  <c r="A26" i="35"/>
  <c r="C26" i="35" s="1"/>
  <c r="D26" i="35" s="1"/>
  <c r="A25" i="35"/>
  <c r="C25" i="35" s="1"/>
  <c r="D25" i="35" s="1"/>
  <c r="A24" i="35"/>
  <c r="C24" i="35" s="1"/>
  <c r="D24" i="35" s="1"/>
  <c r="A23" i="35"/>
  <c r="C23" i="35" s="1"/>
  <c r="D23" i="35" s="1"/>
  <c r="A22" i="35"/>
  <c r="C22" i="35" s="1"/>
  <c r="D22" i="35" s="1"/>
  <c r="A21" i="35"/>
  <c r="C21" i="35" s="1"/>
  <c r="D21" i="35" s="1"/>
  <c r="A20" i="35"/>
  <c r="C20" i="35" s="1"/>
  <c r="D20" i="35" s="1"/>
  <c r="A19" i="35"/>
  <c r="C19" i="35" s="1"/>
  <c r="D19" i="35" s="1"/>
  <c r="A18" i="35"/>
  <c r="C18" i="35" s="1"/>
  <c r="D18" i="35" s="1"/>
  <c r="A17" i="35"/>
  <c r="C17" i="35" s="1"/>
  <c r="D17" i="35" s="1"/>
  <c r="A16" i="35"/>
  <c r="C16" i="35" s="1"/>
  <c r="D16" i="35" s="1"/>
  <c r="A15" i="35"/>
  <c r="C15" i="35" s="1"/>
  <c r="D15" i="35" s="1"/>
  <c r="A14" i="35"/>
  <c r="C14" i="35" s="1"/>
  <c r="D14" i="35" s="1"/>
  <c r="A13" i="35"/>
  <c r="C13" i="35" s="1"/>
  <c r="D13" i="35" s="1"/>
  <c r="A12" i="35"/>
  <c r="C12" i="35" s="1"/>
  <c r="D12" i="35" s="1"/>
  <c r="A11" i="35"/>
  <c r="C11" i="35" s="1"/>
  <c r="D11" i="35" s="1"/>
  <c r="A10" i="35"/>
  <c r="C10" i="35" s="1"/>
  <c r="D10" i="35" s="1"/>
  <c r="A9" i="35"/>
  <c r="C9" i="35" s="1"/>
  <c r="D9" i="35" s="1"/>
  <c r="A8" i="35"/>
  <c r="C8" i="35" s="1"/>
  <c r="D8" i="35" s="1"/>
  <c r="A7" i="35"/>
  <c r="C7" i="35" s="1"/>
  <c r="D7" i="35" s="1"/>
  <c r="A6" i="35"/>
  <c r="C6" i="35" s="1"/>
  <c r="D6" i="35" s="1"/>
  <c r="A5" i="35"/>
  <c r="C5" i="35" s="1"/>
  <c r="D5" i="35" s="1"/>
  <c r="E5" i="35" s="1"/>
  <c r="F2" i="34"/>
  <c r="O11" i="1"/>
  <c r="O13" i="1" s="1"/>
  <c r="O15" i="1" s="1"/>
  <c r="O17" i="1" s="1"/>
  <c r="O21" i="1" s="1"/>
  <c r="O26" i="1" s="1"/>
  <c r="A70" i="34"/>
  <c r="C70" i="34" s="1"/>
  <c r="D70" i="34" s="1"/>
  <c r="A65" i="34"/>
  <c r="C65" i="34" s="1"/>
  <c r="D65" i="34" s="1"/>
  <c r="A66" i="34"/>
  <c r="C66" i="34" s="1"/>
  <c r="D66" i="34" s="1"/>
  <c r="A67" i="34"/>
  <c r="C67" i="34" s="1"/>
  <c r="D67" i="34" s="1"/>
  <c r="A68" i="34"/>
  <c r="C68" i="34" s="1"/>
  <c r="D68" i="34" s="1"/>
  <c r="A69" i="34"/>
  <c r="C69" i="34" s="1"/>
  <c r="D69" i="34" s="1"/>
  <c r="A64" i="34"/>
  <c r="C64" i="34" s="1"/>
  <c r="D64" i="34" s="1"/>
  <c r="A63" i="34"/>
  <c r="C63" i="34" s="1"/>
  <c r="D63" i="34" s="1"/>
  <c r="A62" i="34"/>
  <c r="C62" i="34" s="1"/>
  <c r="D62" i="34" s="1"/>
  <c r="A61" i="34"/>
  <c r="C61" i="34" s="1"/>
  <c r="D61" i="34" s="1"/>
  <c r="A60" i="34"/>
  <c r="C60" i="34" s="1"/>
  <c r="D60" i="34" s="1"/>
  <c r="A59" i="34"/>
  <c r="C59" i="34" s="1"/>
  <c r="D59" i="34" s="1"/>
  <c r="A58" i="34"/>
  <c r="C58" i="34" s="1"/>
  <c r="D58" i="34" s="1"/>
  <c r="A57" i="34"/>
  <c r="C57" i="34" s="1"/>
  <c r="D57" i="34" s="1"/>
  <c r="A56" i="34"/>
  <c r="C56" i="34" s="1"/>
  <c r="D56" i="34" s="1"/>
  <c r="A55" i="34"/>
  <c r="C55" i="34" s="1"/>
  <c r="D55" i="34" s="1"/>
  <c r="A54" i="34"/>
  <c r="C54" i="34" s="1"/>
  <c r="D54" i="34" s="1"/>
  <c r="A53" i="34"/>
  <c r="C53" i="34" s="1"/>
  <c r="D53" i="34" s="1"/>
  <c r="A52" i="34"/>
  <c r="C52" i="34" s="1"/>
  <c r="D52" i="34" s="1"/>
  <c r="A51" i="34"/>
  <c r="C51" i="34" s="1"/>
  <c r="D51" i="34" s="1"/>
  <c r="A50" i="34"/>
  <c r="C50" i="34" s="1"/>
  <c r="D50" i="34" s="1"/>
  <c r="A49" i="34"/>
  <c r="C49" i="34" s="1"/>
  <c r="D49" i="34" s="1"/>
  <c r="A48" i="34"/>
  <c r="C48" i="34" s="1"/>
  <c r="D48" i="34" s="1"/>
  <c r="A47" i="34"/>
  <c r="C47" i="34" s="1"/>
  <c r="D47" i="34" s="1"/>
  <c r="A46" i="34"/>
  <c r="C46" i="34" s="1"/>
  <c r="D46" i="34" s="1"/>
  <c r="A45" i="34"/>
  <c r="C45" i="34" s="1"/>
  <c r="D45" i="34" s="1"/>
  <c r="A44" i="34"/>
  <c r="C44" i="34" s="1"/>
  <c r="D44" i="34" s="1"/>
  <c r="A43" i="34"/>
  <c r="C43" i="34" s="1"/>
  <c r="D43" i="34" s="1"/>
  <c r="A42" i="34"/>
  <c r="C42" i="34" s="1"/>
  <c r="D42" i="34" s="1"/>
  <c r="A41" i="34"/>
  <c r="C41" i="34" s="1"/>
  <c r="D41" i="34" s="1"/>
  <c r="A40" i="34"/>
  <c r="C40" i="34" s="1"/>
  <c r="D40" i="34" s="1"/>
  <c r="A39" i="34"/>
  <c r="C39" i="34" s="1"/>
  <c r="D39" i="34" s="1"/>
  <c r="A38" i="34"/>
  <c r="C38" i="34" s="1"/>
  <c r="D38" i="34" s="1"/>
  <c r="A37" i="34"/>
  <c r="C37" i="34" s="1"/>
  <c r="D37" i="34" s="1"/>
  <c r="A36" i="34"/>
  <c r="C36" i="34" s="1"/>
  <c r="D36" i="34" s="1"/>
  <c r="A35" i="34"/>
  <c r="C35" i="34" s="1"/>
  <c r="D35" i="34" s="1"/>
  <c r="A34" i="34"/>
  <c r="C34" i="34" s="1"/>
  <c r="D34" i="34" s="1"/>
  <c r="A33" i="34"/>
  <c r="C33" i="34" s="1"/>
  <c r="D33" i="34" s="1"/>
  <c r="A32" i="34"/>
  <c r="C32" i="34" s="1"/>
  <c r="D32" i="34" s="1"/>
  <c r="A31" i="34"/>
  <c r="C31" i="34" s="1"/>
  <c r="D31" i="34" s="1"/>
  <c r="A30" i="34"/>
  <c r="C30" i="34" s="1"/>
  <c r="D30" i="34" s="1"/>
  <c r="A29" i="34"/>
  <c r="C29" i="34" s="1"/>
  <c r="D29" i="34" s="1"/>
  <c r="A28" i="34"/>
  <c r="C28" i="34" s="1"/>
  <c r="D28" i="34" s="1"/>
  <c r="A27" i="34"/>
  <c r="C27" i="34" s="1"/>
  <c r="D27" i="34" s="1"/>
  <c r="A26" i="34"/>
  <c r="C26" i="34" s="1"/>
  <c r="D26" i="34" s="1"/>
  <c r="A25" i="34"/>
  <c r="C25" i="34" s="1"/>
  <c r="D25" i="34" s="1"/>
  <c r="A24" i="34"/>
  <c r="C24" i="34" s="1"/>
  <c r="D24" i="34" s="1"/>
  <c r="A23" i="34"/>
  <c r="C23" i="34" s="1"/>
  <c r="D23" i="34" s="1"/>
  <c r="A22" i="34"/>
  <c r="C22" i="34" s="1"/>
  <c r="D22" i="34" s="1"/>
  <c r="A21" i="34"/>
  <c r="C21" i="34" s="1"/>
  <c r="D21" i="34" s="1"/>
  <c r="A20" i="34"/>
  <c r="C20" i="34" s="1"/>
  <c r="D20" i="34" s="1"/>
  <c r="A19" i="34"/>
  <c r="C19" i="34" s="1"/>
  <c r="D19" i="34" s="1"/>
  <c r="A18" i="34"/>
  <c r="C18" i="34" s="1"/>
  <c r="D18" i="34" s="1"/>
  <c r="A17" i="34"/>
  <c r="C17" i="34" s="1"/>
  <c r="D17" i="34" s="1"/>
  <c r="A16" i="34"/>
  <c r="C16" i="34" s="1"/>
  <c r="D16" i="34" s="1"/>
  <c r="A15" i="34"/>
  <c r="C15" i="34" s="1"/>
  <c r="D15" i="34" s="1"/>
  <c r="A14" i="34"/>
  <c r="C14" i="34" s="1"/>
  <c r="D14" i="34" s="1"/>
  <c r="A13" i="34"/>
  <c r="C13" i="34" s="1"/>
  <c r="D13" i="34" s="1"/>
  <c r="A12" i="34"/>
  <c r="C12" i="34" s="1"/>
  <c r="D12" i="34" s="1"/>
  <c r="A11" i="34"/>
  <c r="C11" i="34" s="1"/>
  <c r="D11" i="34" s="1"/>
  <c r="A10" i="34"/>
  <c r="C10" i="34" s="1"/>
  <c r="D10" i="34" s="1"/>
  <c r="A9" i="34"/>
  <c r="C9" i="34" s="1"/>
  <c r="D9" i="34" s="1"/>
  <c r="A8" i="34"/>
  <c r="C8" i="34" s="1"/>
  <c r="D8" i="34" s="1"/>
  <c r="A7" i="34"/>
  <c r="C7" i="34" s="1"/>
  <c r="D7" i="34" s="1"/>
  <c r="A6" i="34"/>
  <c r="C6" i="34" s="1"/>
  <c r="D6" i="34" s="1"/>
  <c r="A5" i="34"/>
  <c r="C5" i="34" s="1"/>
  <c r="D5" i="34" s="1"/>
  <c r="E5" i="34" s="1"/>
  <c r="A45" i="33"/>
  <c r="C45" i="33" s="1"/>
  <c r="D45" i="33" s="1"/>
  <c r="F45" i="33" s="1"/>
  <c r="A44" i="33"/>
  <c r="C44" i="33" s="1"/>
  <c r="D44" i="33" s="1"/>
  <c r="A43" i="33"/>
  <c r="C43" i="33" s="1"/>
  <c r="D43" i="33" s="1"/>
  <c r="A42" i="33"/>
  <c r="C42" i="33" s="1"/>
  <c r="D42" i="33" s="1"/>
  <c r="A41" i="33"/>
  <c r="C41" i="33" s="1"/>
  <c r="D41" i="33" s="1"/>
  <c r="A40" i="33"/>
  <c r="C40" i="33" s="1"/>
  <c r="D40" i="33" s="1"/>
  <c r="A39" i="33"/>
  <c r="C39" i="33" s="1"/>
  <c r="D39" i="33" s="1"/>
  <c r="A38" i="33"/>
  <c r="C38" i="33" s="1"/>
  <c r="D38" i="33" s="1"/>
  <c r="A37" i="33"/>
  <c r="C37" i="33" s="1"/>
  <c r="D37" i="33" s="1"/>
  <c r="A36" i="33"/>
  <c r="C36" i="33" s="1"/>
  <c r="D36" i="33" s="1"/>
  <c r="A35" i="33"/>
  <c r="C35" i="33" s="1"/>
  <c r="D35" i="33" s="1"/>
  <c r="A34" i="33"/>
  <c r="C34" i="33" s="1"/>
  <c r="D34" i="33" s="1"/>
  <c r="A33" i="33"/>
  <c r="C33" i="33" s="1"/>
  <c r="D33" i="33" s="1"/>
  <c r="A32" i="33"/>
  <c r="C32" i="33" s="1"/>
  <c r="D32" i="33" s="1"/>
  <c r="A31" i="33"/>
  <c r="C31" i="33" s="1"/>
  <c r="D31" i="33" s="1"/>
  <c r="A30" i="33"/>
  <c r="C30" i="33" s="1"/>
  <c r="D30" i="33" s="1"/>
  <c r="A29" i="33"/>
  <c r="C29" i="33" s="1"/>
  <c r="D29" i="33" s="1"/>
  <c r="A28" i="33"/>
  <c r="C28" i="33" s="1"/>
  <c r="D28" i="33" s="1"/>
  <c r="A27" i="33"/>
  <c r="C27" i="33" s="1"/>
  <c r="D27" i="33" s="1"/>
  <c r="A26" i="33"/>
  <c r="C26" i="33" s="1"/>
  <c r="D26" i="33" s="1"/>
  <c r="A25" i="33"/>
  <c r="C25" i="33" s="1"/>
  <c r="D25" i="33" s="1"/>
  <c r="A24" i="33"/>
  <c r="C24" i="33" s="1"/>
  <c r="D24" i="33" s="1"/>
  <c r="A23" i="33"/>
  <c r="C23" i="33" s="1"/>
  <c r="D23" i="33" s="1"/>
  <c r="A22" i="33"/>
  <c r="C22" i="33" s="1"/>
  <c r="D22" i="33" s="1"/>
  <c r="A21" i="33"/>
  <c r="C21" i="33" s="1"/>
  <c r="D21" i="33" s="1"/>
  <c r="A20" i="33"/>
  <c r="C20" i="33" s="1"/>
  <c r="D20" i="33" s="1"/>
  <c r="A19" i="33"/>
  <c r="C19" i="33" s="1"/>
  <c r="D19" i="33" s="1"/>
  <c r="A18" i="33"/>
  <c r="C18" i="33" s="1"/>
  <c r="D18" i="33" s="1"/>
  <c r="A17" i="33"/>
  <c r="C17" i="33" s="1"/>
  <c r="D17" i="33" s="1"/>
  <c r="A16" i="33"/>
  <c r="C16" i="33" s="1"/>
  <c r="D16" i="33" s="1"/>
  <c r="A15" i="33"/>
  <c r="C15" i="33" s="1"/>
  <c r="D15" i="33" s="1"/>
  <c r="A14" i="33"/>
  <c r="C14" i="33" s="1"/>
  <c r="D14" i="33" s="1"/>
  <c r="A13" i="33"/>
  <c r="C13" i="33" s="1"/>
  <c r="D13" i="33" s="1"/>
  <c r="A12" i="33"/>
  <c r="C12" i="33" s="1"/>
  <c r="D12" i="33" s="1"/>
  <c r="A11" i="33"/>
  <c r="C11" i="33" s="1"/>
  <c r="D11" i="33" s="1"/>
  <c r="A10" i="33"/>
  <c r="C10" i="33" s="1"/>
  <c r="D10" i="33" s="1"/>
  <c r="A9" i="33"/>
  <c r="C9" i="33" s="1"/>
  <c r="D9" i="33" s="1"/>
  <c r="A8" i="33"/>
  <c r="C8" i="33" s="1"/>
  <c r="D8" i="33" s="1"/>
  <c r="A7" i="33"/>
  <c r="C7" i="33" s="1"/>
  <c r="D7" i="33" s="1"/>
  <c r="A6" i="33"/>
  <c r="C6" i="33" s="1"/>
  <c r="D6" i="33" s="1"/>
  <c r="A5" i="33"/>
  <c r="C5" i="33" s="1"/>
  <c r="D5" i="33" s="1"/>
  <c r="E5" i="33" s="1"/>
  <c r="A51" i="32"/>
  <c r="C51" i="32" s="1"/>
  <c r="D51" i="32" s="1"/>
  <c r="A52" i="32"/>
  <c r="C52" i="32" s="1"/>
  <c r="D52" i="32" s="1"/>
  <c r="A53" i="32"/>
  <c r="C53" i="32" s="1"/>
  <c r="D53" i="32" s="1"/>
  <c r="A54" i="32"/>
  <c r="C54" i="32" s="1"/>
  <c r="D54" i="32" s="1"/>
  <c r="A55" i="32"/>
  <c r="C55" i="32" s="1"/>
  <c r="D55" i="32" s="1"/>
  <c r="F55" i="32" s="1"/>
  <c r="A50" i="32"/>
  <c r="C50" i="32" s="1"/>
  <c r="D50" i="32" s="1"/>
  <c r="A49" i="32"/>
  <c r="C49" i="32" s="1"/>
  <c r="D49" i="32" s="1"/>
  <c r="A48" i="32"/>
  <c r="C48" i="32" s="1"/>
  <c r="D48" i="32" s="1"/>
  <c r="A47" i="32"/>
  <c r="C47" i="32" s="1"/>
  <c r="D47" i="32" s="1"/>
  <c r="A46" i="32"/>
  <c r="C46" i="32" s="1"/>
  <c r="D46" i="32" s="1"/>
  <c r="A45" i="32"/>
  <c r="C45" i="32" s="1"/>
  <c r="D45" i="32" s="1"/>
  <c r="A44" i="32"/>
  <c r="C44" i="32" s="1"/>
  <c r="D44" i="32" s="1"/>
  <c r="A43" i="32"/>
  <c r="C43" i="32" s="1"/>
  <c r="D43" i="32" s="1"/>
  <c r="A42" i="32"/>
  <c r="C42" i="32" s="1"/>
  <c r="D42" i="32" s="1"/>
  <c r="A41" i="32"/>
  <c r="C41" i="32" s="1"/>
  <c r="D41" i="32" s="1"/>
  <c r="A40" i="32"/>
  <c r="C40" i="32" s="1"/>
  <c r="D40" i="32" s="1"/>
  <c r="A39" i="32"/>
  <c r="C39" i="32" s="1"/>
  <c r="D39" i="32" s="1"/>
  <c r="A38" i="32"/>
  <c r="C38" i="32" s="1"/>
  <c r="D38" i="32" s="1"/>
  <c r="A37" i="32"/>
  <c r="C37" i="32" s="1"/>
  <c r="D37" i="32" s="1"/>
  <c r="A36" i="32"/>
  <c r="C36" i="32" s="1"/>
  <c r="D36" i="32" s="1"/>
  <c r="A35" i="32"/>
  <c r="C35" i="32" s="1"/>
  <c r="D35" i="32" s="1"/>
  <c r="A34" i="32"/>
  <c r="C34" i="32" s="1"/>
  <c r="D34" i="32" s="1"/>
  <c r="A33" i="32"/>
  <c r="C33" i="32" s="1"/>
  <c r="D33" i="32" s="1"/>
  <c r="A32" i="32"/>
  <c r="C32" i="32" s="1"/>
  <c r="D32" i="32" s="1"/>
  <c r="A31" i="32"/>
  <c r="C31" i="32" s="1"/>
  <c r="D31" i="32" s="1"/>
  <c r="A30" i="32"/>
  <c r="C30" i="32" s="1"/>
  <c r="D30" i="32" s="1"/>
  <c r="A29" i="32"/>
  <c r="C29" i="32" s="1"/>
  <c r="D29" i="32" s="1"/>
  <c r="A28" i="32"/>
  <c r="C28" i="32" s="1"/>
  <c r="D28" i="32" s="1"/>
  <c r="A27" i="32"/>
  <c r="C27" i="32" s="1"/>
  <c r="D27" i="32" s="1"/>
  <c r="A26" i="32"/>
  <c r="C26" i="32" s="1"/>
  <c r="D26" i="32" s="1"/>
  <c r="A25" i="32"/>
  <c r="C25" i="32" s="1"/>
  <c r="D25" i="32" s="1"/>
  <c r="A24" i="32"/>
  <c r="C24" i="32" s="1"/>
  <c r="D24" i="32" s="1"/>
  <c r="A23" i="32"/>
  <c r="C23" i="32" s="1"/>
  <c r="D23" i="32" s="1"/>
  <c r="A22" i="32"/>
  <c r="C22" i="32" s="1"/>
  <c r="D22" i="32" s="1"/>
  <c r="A21" i="32"/>
  <c r="C21" i="32" s="1"/>
  <c r="D21" i="32" s="1"/>
  <c r="A20" i="32"/>
  <c r="C20" i="32" s="1"/>
  <c r="D20" i="32" s="1"/>
  <c r="A19" i="32"/>
  <c r="C19" i="32" s="1"/>
  <c r="D19" i="32" s="1"/>
  <c r="A18" i="32"/>
  <c r="C18" i="32" s="1"/>
  <c r="D18" i="32" s="1"/>
  <c r="A17" i="32"/>
  <c r="C17" i="32" s="1"/>
  <c r="D17" i="32" s="1"/>
  <c r="A16" i="32"/>
  <c r="C16" i="32" s="1"/>
  <c r="D16" i="32" s="1"/>
  <c r="A15" i="32"/>
  <c r="C15" i="32" s="1"/>
  <c r="D15" i="32" s="1"/>
  <c r="A14" i="32"/>
  <c r="C14" i="32" s="1"/>
  <c r="D14" i="32" s="1"/>
  <c r="A13" i="32"/>
  <c r="C13" i="32" s="1"/>
  <c r="D13" i="32" s="1"/>
  <c r="A12" i="32"/>
  <c r="C12" i="32" s="1"/>
  <c r="D12" i="32" s="1"/>
  <c r="A11" i="32"/>
  <c r="C11" i="32" s="1"/>
  <c r="D11" i="32" s="1"/>
  <c r="A10" i="32"/>
  <c r="C10" i="32" s="1"/>
  <c r="D10" i="32" s="1"/>
  <c r="A9" i="32"/>
  <c r="C9" i="32" s="1"/>
  <c r="D9" i="32" s="1"/>
  <c r="A8" i="32"/>
  <c r="C8" i="32" s="1"/>
  <c r="D8" i="32" s="1"/>
  <c r="A7" i="32"/>
  <c r="C7" i="32" s="1"/>
  <c r="D7" i="32" s="1"/>
  <c r="A6" i="32"/>
  <c r="C6" i="32" s="1"/>
  <c r="D6" i="32" s="1"/>
  <c r="A5" i="32"/>
  <c r="C5" i="32" s="1"/>
  <c r="D5" i="32" s="1"/>
  <c r="E5" i="32" s="1"/>
  <c r="A61" i="31"/>
  <c r="C61" i="31" s="1"/>
  <c r="D61" i="31" s="1"/>
  <c r="A62" i="31"/>
  <c r="C62" i="31" s="1"/>
  <c r="D62" i="31" s="1"/>
  <c r="A63" i="31"/>
  <c r="C63" i="31" s="1"/>
  <c r="D63" i="31" s="1"/>
  <c r="A64" i="31"/>
  <c r="C64" i="31" s="1"/>
  <c r="D64" i="31" s="1"/>
  <c r="F64" i="31" s="1"/>
  <c r="A60" i="31"/>
  <c r="C60" i="31" s="1"/>
  <c r="D60" i="31" s="1"/>
  <c r="A59" i="31"/>
  <c r="C59" i="31" s="1"/>
  <c r="D59" i="31" s="1"/>
  <c r="A58" i="31"/>
  <c r="C58" i="31" s="1"/>
  <c r="D58" i="31" s="1"/>
  <c r="A57" i="31"/>
  <c r="C57" i="31" s="1"/>
  <c r="D57" i="31" s="1"/>
  <c r="A56" i="31"/>
  <c r="C56" i="31" s="1"/>
  <c r="D56" i="31" s="1"/>
  <c r="A55" i="31"/>
  <c r="C55" i="31" s="1"/>
  <c r="D55" i="31" s="1"/>
  <c r="A54" i="31"/>
  <c r="C54" i="31" s="1"/>
  <c r="D54" i="31" s="1"/>
  <c r="A53" i="31"/>
  <c r="C53" i="31" s="1"/>
  <c r="D53" i="31" s="1"/>
  <c r="A52" i="31"/>
  <c r="C52" i="31" s="1"/>
  <c r="D52" i="31" s="1"/>
  <c r="A51" i="31"/>
  <c r="C51" i="31" s="1"/>
  <c r="D51" i="31" s="1"/>
  <c r="A50" i="31"/>
  <c r="C50" i="31" s="1"/>
  <c r="D50" i="31" s="1"/>
  <c r="A49" i="31"/>
  <c r="C49" i="31" s="1"/>
  <c r="D49" i="31" s="1"/>
  <c r="A48" i="31"/>
  <c r="C48" i="31" s="1"/>
  <c r="D48" i="31" s="1"/>
  <c r="A47" i="31"/>
  <c r="C47" i="31" s="1"/>
  <c r="D47" i="31" s="1"/>
  <c r="A46" i="31"/>
  <c r="C46" i="31" s="1"/>
  <c r="D46" i="31" s="1"/>
  <c r="A45" i="31"/>
  <c r="C45" i="31" s="1"/>
  <c r="D45" i="31" s="1"/>
  <c r="A44" i="31"/>
  <c r="C44" i="31" s="1"/>
  <c r="D44" i="31" s="1"/>
  <c r="A43" i="31"/>
  <c r="C43" i="31" s="1"/>
  <c r="D43" i="31" s="1"/>
  <c r="A42" i="31"/>
  <c r="C42" i="31" s="1"/>
  <c r="D42" i="31" s="1"/>
  <c r="A41" i="31"/>
  <c r="C41" i="31" s="1"/>
  <c r="D41" i="31" s="1"/>
  <c r="A40" i="31"/>
  <c r="C40" i="31" s="1"/>
  <c r="D40" i="31" s="1"/>
  <c r="A39" i="31"/>
  <c r="C39" i="31" s="1"/>
  <c r="D39" i="31" s="1"/>
  <c r="A38" i="31"/>
  <c r="C38" i="31" s="1"/>
  <c r="D38" i="31" s="1"/>
  <c r="A37" i="31"/>
  <c r="C37" i="31" s="1"/>
  <c r="D37" i="31" s="1"/>
  <c r="A36" i="31"/>
  <c r="C36" i="31" s="1"/>
  <c r="D36" i="31" s="1"/>
  <c r="A35" i="31"/>
  <c r="C35" i="31" s="1"/>
  <c r="D35" i="31" s="1"/>
  <c r="A34" i="31"/>
  <c r="C34" i="31" s="1"/>
  <c r="D34" i="31" s="1"/>
  <c r="A33" i="31"/>
  <c r="C33" i="31" s="1"/>
  <c r="D33" i="31" s="1"/>
  <c r="A32" i="31"/>
  <c r="C32" i="31" s="1"/>
  <c r="D32" i="31" s="1"/>
  <c r="A31" i="31"/>
  <c r="C31" i="31" s="1"/>
  <c r="D31" i="31" s="1"/>
  <c r="A30" i="31"/>
  <c r="C30" i="31" s="1"/>
  <c r="D30" i="31" s="1"/>
  <c r="A29" i="31"/>
  <c r="C29" i="31" s="1"/>
  <c r="D29" i="31" s="1"/>
  <c r="A28" i="31"/>
  <c r="C28" i="31" s="1"/>
  <c r="D28" i="31" s="1"/>
  <c r="A27" i="31"/>
  <c r="C27" i="31" s="1"/>
  <c r="D27" i="31" s="1"/>
  <c r="A26" i="31"/>
  <c r="C26" i="31" s="1"/>
  <c r="D26" i="31" s="1"/>
  <c r="A25" i="31"/>
  <c r="C25" i="31" s="1"/>
  <c r="D25" i="31" s="1"/>
  <c r="A24" i="31"/>
  <c r="C24" i="31" s="1"/>
  <c r="D24" i="31" s="1"/>
  <c r="A23" i="31"/>
  <c r="C23" i="31" s="1"/>
  <c r="D23" i="31" s="1"/>
  <c r="A22" i="31"/>
  <c r="C22" i="31" s="1"/>
  <c r="D22" i="31" s="1"/>
  <c r="A21" i="31"/>
  <c r="C21" i="31" s="1"/>
  <c r="D21" i="31" s="1"/>
  <c r="A20" i="31"/>
  <c r="C20" i="31" s="1"/>
  <c r="D20" i="31" s="1"/>
  <c r="A19" i="31"/>
  <c r="C19" i="31" s="1"/>
  <c r="D19" i="31" s="1"/>
  <c r="A18" i="31"/>
  <c r="C18" i="31" s="1"/>
  <c r="D18" i="31" s="1"/>
  <c r="A17" i="31"/>
  <c r="C17" i="31" s="1"/>
  <c r="D17" i="31" s="1"/>
  <c r="A16" i="31"/>
  <c r="C16" i="31" s="1"/>
  <c r="D16" i="31" s="1"/>
  <c r="A15" i="31"/>
  <c r="C15" i="31" s="1"/>
  <c r="D15" i="31" s="1"/>
  <c r="A14" i="31"/>
  <c r="C14" i="31" s="1"/>
  <c r="D14" i="31" s="1"/>
  <c r="A13" i="31"/>
  <c r="C13" i="31" s="1"/>
  <c r="D13" i="31" s="1"/>
  <c r="A12" i="31"/>
  <c r="C12" i="31" s="1"/>
  <c r="D12" i="31" s="1"/>
  <c r="A11" i="31"/>
  <c r="C11" i="31" s="1"/>
  <c r="D11" i="31" s="1"/>
  <c r="A10" i="31"/>
  <c r="C10" i="31" s="1"/>
  <c r="D10" i="31" s="1"/>
  <c r="A9" i="31"/>
  <c r="C9" i="31" s="1"/>
  <c r="D9" i="31" s="1"/>
  <c r="A8" i="31"/>
  <c r="C8" i="31" s="1"/>
  <c r="D8" i="31" s="1"/>
  <c r="A7" i="31"/>
  <c r="C7" i="31" s="1"/>
  <c r="D7" i="31" s="1"/>
  <c r="A6" i="31"/>
  <c r="C6" i="31" s="1"/>
  <c r="D6" i="31" s="1"/>
  <c r="A5" i="31"/>
  <c r="C5" i="31" s="1"/>
  <c r="D5" i="31" s="1"/>
  <c r="E5" i="31" s="1"/>
  <c r="A39" i="30"/>
  <c r="C39" i="30" s="1"/>
  <c r="D39" i="30" s="1"/>
  <c r="F39" i="30" s="1"/>
  <c r="A38" i="30"/>
  <c r="C38" i="30" s="1"/>
  <c r="D38" i="30" s="1"/>
  <c r="A37" i="30"/>
  <c r="C37" i="30" s="1"/>
  <c r="D37" i="30" s="1"/>
  <c r="A36" i="30"/>
  <c r="C36" i="30" s="1"/>
  <c r="D36" i="30" s="1"/>
  <c r="A35" i="30"/>
  <c r="C35" i="30" s="1"/>
  <c r="D35" i="30" s="1"/>
  <c r="A34" i="30"/>
  <c r="C34" i="30" s="1"/>
  <c r="D34" i="30" s="1"/>
  <c r="A33" i="30"/>
  <c r="C33" i="30" s="1"/>
  <c r="D33" i="30" s="1"/>
  <c r="A32" i="30"/>
  <c r="C32" i="30" s="1"/>
  <c r="D32" i="30" s="1"/>
  <c r="A31" i="30"/>
  <c r="C31" i="30" s="1"/>
  <c r="D31" i="30" s="1"/>
  <c r="A30" i="30"/>
  <c r="C30" i="30" s="1"/>
  <c r="D30" i="30" s="1"/>
  <c r="A29" i="30"/>
  <c r="C29" i="30" s="1"/>
  <c r="D29" i="30" s="1"/>
  <c r="A28" i="30"/>
  <c r="C28" i="30" s="1"/>
  <c r="D28" i="30" s="1"/>
  <c r="A27" i="30"/>
  <c r="C27" i="30" s="1"/>
  <c r="D27" i="30" s="1"/>
  <c r="A26" i="30"/>
  <c r="C26" i="30" s="1"/>
  <c r="D26" i="30" s="1"/>
  <c r="A25" i="30"/>
  <c r="C25" i="30" s="1"/>
  <c r="D25" i="30" s="1"/>
  <c r="A24" i="30"/>
  <c r="C24" i="30" s="1"/>
  <c r="D24" i="30" s="1"/>
  <c r="A23" i="30"/>
  <c r="C23" i="30" s="1"/>
  <c r="D23" i="30" s="1"/>
  <c r="A22" i="30"/>
  <c r="C22" i="30" s="1"/>
  <c r="D22" i="30" s="1"/>
  <c r="A21" i="30"/>
  <c r="C21" i="30" s="1"/>
  <c r="D21" i="30" s="1"/>
  <c r="A20" i="30"/>
  <c r="C20" i="30" s="1"/>
  <c r="D20" i="30" s="1"/>
  <c r="A19" i="30"/>
  <c r="C19" i="30" s="1"/>
  <c r="D19" i="30" s="1"/>
  <c r="A18" i="30"/>
  <c r="C18" i="30" s="1"/>
  <c r="D18" i="30" s="1"/>
  <c r="A17" i="30"/>
  <c r="C17" i="30" s="1"/>
  <c r="D17" i="30" s="1"/>
  <c r="A16" i="30"/>
  <c r="C16" i="30" s="1"/>
  <c r="D16" i="30" s="1"/>
  <c r="A15" i="30"/>
  <c r="C15" i="30" s="1"/>
  <c r="D15" i="30" s="1"/>
  <c r="A14" i="30"/>
  <c r="C14" i="30" s="1"/>
  <c r="D14" i="30" s="1"/>
  <c r="A13" i="30"/>
  <c r="C13" i="30" s="1"/>
  <c r="D13" i="30" s="1"/>
  <c r="A12" i="30"/>
  <c r="C12" i="30" s="1"/>
  <c r="D12" i="30" s="1"/>
  <c r="A11" i="30"/>
  <c r="C11" i="30" s="1"/>
  <c r="D11" i="30" s="1"/>
  <c r="A10" i="30"/>
  <c r="C10" i="30" s="1"/>
  <c r="D10" i="30" s="1"/>
  <c r="A9" i="30"/>
  <c r="C9" i="30" s="1"/>
  <c r="D9" i="30" s="1"/>
  <c r="A8" i="30"/>
  <c r="C8" i="30" s="1"/>
  <c r="D8" i="30" s="1"/>
  <c r="A7" i="30"/>
  <c r="C7" i="30" s="1"/>
  <c r="D7" i="30" s="1"/>
  <c r="A6" i="30"/>
  <c r="C6" i="30" s="1"/>
  <c r="D6" i="30" s="1"/>
  <c r="A5" i="30"/>
  <c r="C5" i="30" s="1"/>
  <c r="D5" i="30" s="1"/>
  <c r="E5" i="30" s="1"/>
  <c r="E6" i="30" s="1"/>
  <c r="E7" i="30" s="1"/>
  <c r="A50" i="29"/>
  <c r="C50" i="29" s="1"/>
  <c r="D50" i="29" s="1"/>
  <c r="F50" i="29" s="1"/>
  <c r="A49" i="29"/>
  <c r="C49" i="29" s="1"/>
  <c r="D49" i="29" s="1"/>
  <c r="A48" i="29"/>
  <c r="C48" i="29" s="1"/>
  <c r="D48" i="29" s="1"/>
  <c r="A47" i="29"/>
  <c r="C47" i="29" s="1"/>
  <c r="D47" i="29" s="1"/>
  <c r="A46" i="29"/>
  <c r="C46" i="29" s="1"/>
  <c r="D46" i="29" s="1"/>
  <c r="A45" i="29"/>
  <c r="C45" i="29" s="1"/>
  <c r="D45" i="29" s="1"/>
  <c r="A44" i="29"/>
  <c r="C44" i="29" s="1"/>
  <c r="D44" i="29" s="1"/>
  <c r="A43" i="29"/>
  <c r="C43" i="29" s="1"/>
  <c r="D43" i="29" s="1"/>
  <c r="A42" i="29"/>
  <c r="C42" i="29" s="1"/>
  <c r="D42" i="29" s="1"/>
  <c r="A41" i="29"/>
  <c r="C41" i="29" s="1"/>
  <c r="D41" i="29" s="1"/>
  <c r="A40" i="29"/>
  <c r="C40" i="29" s="1"/>
  <c r="D40" i="29" s="1"/>
  <c r="A39" i="29"/>
  <c r="C39" i="29" s="1"/>
  <c r="D39" i="29" s="1"/>
  <c r="A38" i="29"/>
  <c r="C38" i="29" s="1"/>
  <c r="D38" i="29" s="1"/>
  <c r="A37" i="29"/>
  <c r="C37" i="29" s="1"/>
  <c r="D37" i="29" s="1"/>
  <c r="A36" i="29"/>
  <c r="C36" i="29" s="1"/>
  <c r="D36" i="29" s="1"/>
  <c r="A35" i="29"/>
  <c r="C35" i="29" s="1"/>
  <c r="D35" i="29" s="1"/>
  <c r="A34" i="29"/>
  <c r="C34" i="29" s="1"/>
  <c r="D34" i="29" s="1"/>
  <c r="A33" i="29"/>
  <c r="C33" i="29" s="1"/>
  <c r="D33" i="29" s="1"/>
  <c r="A32" i="29"/>
  <c r="C32" i="29" s="1"/>
  <c r="D32" i="29" s="1"/>
  <c r="A31" i="29"/>
  <c r="C31" i="29" s="1"/>
  <c r="D31" i="29" s="1"/>
  <c r="A30" i="29"/>
  <c r="C30" i="29" s="1"/>
  <c r="D30" i="29" s="1"/>
  <c r="A29" i="29"/>
  <c r="C29" i="29" s="1"/>
  <c r="D29" i="29" s="1"/>
  <c r="A28" i="29"/>
  <c r="C28" i="29" s="1"/>
  <c r="D28" i="29" s="1"/>
  <c r="A27" i="29"/>
  <c r="C27" i="29" s="1"/>
  <c r="D27" i="29" s="1"/>
  <c r="A26" i="29"/>
  <c r="C26" i="29" s="1"/>
  <c r="D26" i="29" s="1"/>
  <c r="A25" i="29"/>
  <c r="C25" i="29" s="1"/>
  <c r="D25" i="29" s="1"/>
  <c r="A24" i="29"/>
  <c r="C24" i="29" s="1"/>
  <c r="D24" i="29" s="1"/>
  <c r="A23" i="29"/>
  <c r="C23" i="29" s="1"/>
  <c r="D23" i="29" s="1"/>
  <c r="A22" i="29"/>
  <c r="C22" i="29" s="1"/>
  <c r="D22" i="29" s="1"/>
  <c r="A21" i="29"/>
  <c r="C21" i="29" s="1"/>
  <c r="D21" i="29" s="1"/>
  <c r="A20" i="29"/>
  <c r="C20" i="29" s="1"/>
  <c r="D20" i="29" s="1"/>
  <c r="A19" i="29"/>
  <c r="C19" i="29" s="1"/>
  <c r="D19" i="29" s="1"/>
  <c r="A18" i="29"/>
  <c r="C18" i="29" s="1"/>
  <c r="D18" i="29" s="1"/>
  <c r="A17" i="29"/>
  <c r="C17" i="29" s="1"/>
  <c r="D17" i="29" s="1"/>
  <c r="A16" i="29"/>
  <c r="C16" i="29" s="1"/>
  <c r="D16" i="29" s="1"/>
  <c r="A15" i="29"/>
  <c r="C15" i="29" s="1"/>
  <c r="D15" i="29" s="1"/>
  <c r="A14" i="29"/>
  <c r="C14" i="29" s="1"/>
  <c r="D14" i="29" s="1"/>
  <c r="A13" i="29"/>
  <c r="C13" i="29" s="1"/>
  <c r="D13" i="29" s="1"/>
  <c r="A12" i="29"/>
  <c r="C12" i="29" s="1"/>
  <c r="D12" i="29" s="1"/>
  <c r="A11" i="29"/>
  <c r="C11" i="29" s="1"/>
  <c r="D11" i="29" s="1"/>
  <c r="A10" i="29"/>
  <c r="C10" i="29" s="1"/>
  <c r="D10" i="29" s="1"/>
  <c r="A9" i="29"/>
  <c r="C9" i="29" s="1"/>
  <c r="D9" i="29" s="1"/>
  <c r="A8" i="29"/>
  <c r="C8" i="29" s="1"/>
  <c r="D8" i="29" s="1"/>
  <c r="A7" i="29"/>
  <c r="C7" i="29" s="1"/>
  <c r="D7" i="29" s="1"/>
  <c r="A6" i="29"/>
  <c r="C6" i="29" s="1"/>
  <c r="D6" i="29" s="1"/>
  <c r="A5" i="29"/>
  <c r="C5" i="29" s="1"/>
  <c r="D5" i="29" s="1"/>
  <c r="E5" i="29" s="1"/>
  <c r="A60" i="28"/>
  <c r="A59" i="28"/>
  <c r="C59" i="28" s="1"/>
  <c r="A58" i="28"/>
  <c r="C58" i="28" s="1"/>
  <c r="D58" i="28" s="1"/>
  <c r="A57" i="28"/>
  <c r="C57" i="28" s="1"/>
  <c r="D57" i="28" s="1"/>
  <c r="A56" i="28"/>
  <c r="C56" i="28" s="1"/>
  <c r="D56" i="28" s="1"/>
  <c r="A55" i="28"/>
  <c r="C55" i="28" s="1"/>
  <c r="A54" i="28"/>
  <c r="C54" i="28" s="1"/>
  <c r="D54" i="28" s="1"/>
  <c r="A53" i="28"/>
  <c r="A52" i="28"/>
  <c r="C52" i="28" s="1"/>
  <c r="D52" i="28" s="1"/>
  <c r="A51" i="28"/>
  <c r="C51" i="28" s="1"/>
  <c r="A50" i="28"/>
  <c r="C50" i="28" s="1"/>
  <c r="D50" i="28" s="1"/>
  <c r="A49" i="28"/>
  <c r="C49" i="28" s="1"/>
  <c r="D49" i="28" s="1"/>
  <c r="A48" i="28"/>
  <c r="C48" i="28" s="1"/>
  <c r="D48" i="28" s="1"/>
  <c r="A47" i="28"/>
  <c r="C47" i="28" s="1"/>
  <c r="A46" i="28"/>
  <c r="C46" i="28" s="1"/>
  <c r="D46" i="28" s="1"/>
  <c r="A45" i="28"/>
  <c r="C45" i="28" s="1"/>
  <c r="A44" i="28"/>
  <c r="C44" i="28" s="1"/>
  <c r="D44" i="28" s="1"/>
  <c r="A43" i="28"/>
  <c r="C43" i="28" s="1"/>
  <c r="A42" i="28"/>
  <c r="C42" i="28" s="1"/>
  <c r="D42" i="28" s="1"/>
  <c r="A41" i="28"/>
  <c r="A40" i="28"/>
  <c r="C40" i="28" s="1"/>
  <c r="D40" i="28" s="1"/>
  <c r="A39" i="28"/>
  <c r="C39" i="28" s="1"/>
  <c r="A38" i="28"/>
  <c r="C38" i="28" s="1"/>
  <c r="D38" i="28" s="1"/>
  <c r="A37" i="28"/>
  <c r="C37" i="28" s="1"/>
  <c r="A36" i="28"/>
  <c r="C36" i="28" s="1"/>
  <c r="D36" i="28" s="1"/>
  <c r="A35" i="28"/>
  <c r="C35" i="28" s="1"/>
  <c r="A34" i="28"/>
  <c r="C34" i="28" s="1"/>
  <c r="D34" i="28" s="1"/>
  <c r="A33" i="28"/>
  <c r="C33" i="28" s="1"/>
  <c r="A32" i="28"/>
  <c r="C32" i="28" s="1"/>
  <c r="D32" i="28" s="1"/>
  <c r="A31" i="28"/>
  <c r="C31" i="28" s="1"/>
  <c r="A30" i="28"/>
  <c r="C30" i="28" s="1"/>
  <c r="D30" i="28" s="1"/>
  <c r="A29" i="28"/>
  <c r="C29" i="28" s="1"/>
  <c r="A28" i="28"/>
  <c r="C28" i="28" s="1"/>
  <c r="D28" i="28" s="1"/>
  <c r="A27" i="28"/>
  <c r="C27" i="28" s="1"/>
  <c r="A26" i="28"/>
  <c r="C26" i="28" s="1"/>
  <c r="D26" i="28" s="1"/>
  <c r="A25" i="28"/>
  <c r="A24" i="28"/>
  <c r="C24" i="28" s="1"/>
  <c r="D24" i="28" s="1"/>
  <c r="A23" i="28"/>
  <c r="C23" i="28" s="1"/>
  <c r="A22" i="28"/>
  <c r="C22" i="28" s="1"/>
  <c r="D22" i="28" s="1"/>
  <c r="A21" i="28"/>
  <c r="C21" i="28" s="1"/>
  <c r="A20" i="28"/>
  <c r="C20" i="28" s="1"/>
  <c r="D20" i="28" s="1"/>
  <c r="A19" i="28"/>
  <c r="C19" i="28" s="1"/>
  <c r="A18" i="28"/>
  <c r="C18" i="28" s="1"/>
  <c r="A17" i="28"/>
  <c r="C17" i="28" s="1"/>
  <c r="D17" i="28" s="1"/>
  <c r="A16" i="28"/>
  <c r="A15" i="28"/>
  <c r="C15" i="28" s="1"/>
  <c r="D15" i="28" s="1"/>
  <c r="A14" i="28"/>
  <c r="C14" i="28" s="1"/>
  <c r="A13" i="28"/>
  <c r="C13" i="28" s="1"/>
  <c r="D13" i="28" s="1"/>
  <c r="A12" i="28"/>
  <c r="A11" i="28"/>
  <c r="C11" i="28" s="1"/>
  <c r="D11" i="28" s="1"/>
  <c r="A10" i="28"/>
  <c r="A9" i="28"/>
  <c r="C9" i="28" s="1"/>
  <c r="A8" i="28"/>
  <c r="A7" i="28"/>
  <c r="C7" i="28" s="1"/>
  <c r="D7" i="28" s="1"/>
  <c r="A6" i="28"/>
  <c r="A5" i="28"/>
  <c r="C5" i="28" s="1"/>
  <c r="D5" i="28" s="1"/>
  <c r="E5" i="28" s="1"/>
  <c r="E6" i="31" l="1"/>
  <c r="E7" i="31" s="1"/>
  <c r="E8" i="31" s="1"/>
  <c r="E9" i="31" s="1"/>
  <c r="E10" i="31" s="1"/>
  <c r="E11" i="31" s="1"/>
  <c r="E12" i="31" s="1"/>
  <c r="E13" i="31" s="1"/>
  <c r="E14" i="31" s="1"/>
  <c r="E15" i="31" s="1"/>
  <c r="E16" i="31" s="1"/>
  <c r="E17" i="31" s="1"/>
  <c r="E18" i="31" s="1"/>
  <c r="E19" i="31" s="1"/>
  <c r="E20" i="31" s="1"/>
  <c r="E21" i="31" s="1"/>
  <c r="E22" i="31" s="1"/>
  <c r="E23" i="31" s="1"/>
  <c r="E24" i="31" s="1"/>
  <c r="E25" i="31" s="1"/>
  <c r="E26" i="31" s="1"/>
  <c r="E27" i="31" s="1"/>
  <c r="E28" i="31" s="1"/>
  <c r="E29" i="31" s="1"/>
  <c r="E30" i="31" s="1"/>
  <c r="E31" i="31" s="1"/>
  <c r="E32" i="31" s="1"/>
  <c r="E33" i="31" s="1"/>
  <c r="E34" i="31" s="1"/>
  <c r="E35" i="31" s="1"/>
  <c r="E36" i="31" s="1"/>
  <c r="E37" i="31" s="1"/>
  <c r="E38" i="31" s="1"/>
  <c r="E39" i="31" s="1"/>
  <c r="E40" i="31" s="1"/>
  <c r="E41" i="31" s="1"/>
  <c r="E42" i="31" s="1"/>
  <c r="E43" i="31" s="1"/>
  <c r="E44" i="31" s="1"/>
  <c r="E45" i="31" s="1"/>
  <c r="E46" i="31" s="1"/>
  <c r="E47" i="31" s="1"/>
  <c r="E48" i="31" s="1"/>
  <c r="E49" i="31" s="1"/>
  <c r="E50" i="31" s="1"/>
  <c r="E51" i="31" s="1"/>
  <c r="E52" i="31" s="1"/>
  <c r="E53" i="31" s="1"/>
  <c r="E54" i="31" s="1"/>
  <c r="E55" i="31" s="1"/>
  <c r="E56" i="31" s="1"/>
  <c r="E57" i="31" s="1"/>
  <c r="E58" i="31" s="1"/>
  <c r="E59" i="31" s="1"/>
  <c r="E60" i="31" s="1"/>
  <c r="E61" i="31" s="1"/>
  <c r="E62" i="31" s="1"/>
  <c r="E63" i="31" s="1"/>
  <c r="E64" i="31" s="1"/>
  <c r="E6" i="32"/>
  <c r="E7" i="32" s="1"/>
  <c r="E8" i="32" s="1"/>
  <c r="E9" i="32" s="1"/>
  <c r="E10" i="32" s="1"/>
  <c r="E11" i="32" s="1"/>
  <c r="E12" i="32" s="1"/>
  <c r="E13" i="32" s="1"/>
  <c r="E14" i="32" s="1"/>
  <c r="E15" i="32" s="1"/>
  <c r="E16" i="32" s="1"/>
  <c r="E17" i="32" s="1"/>
  <c r="E18" i="32" s="1"/>
  <c r="E19" i="32" s="1"/>
  <c r="E20" i="32" s="1"/>
  <c r="E21" i="32" s="1"/>
  <c r="E22" i="32" s="1"/>
  <c r="E23" i="32" s="1"/>
  <c r="E24" i="32" s="1"/>
  <c r="E25" i="32" s="1"/>
  <c r="E26" i="32" s="1"/>
  <c r="E27" i="32" s="1"/>
  <c r="E28" i="32" s="1"/>
  <c r="E29" i="32" s="1"/>
  <c r="E30" i="32" s="1"/>
  <c r="E31" i="32" s="1"/>
  <c r="E32" i="32" s="1"/>
  <c r="E33" i="32" s="1"/>
  <c r="E34" i="32" s="1"/>
  <c r="E35" i="32" s="1"/>
  <c r="E36" i="32" s="1"/>
  <c r="E37" i="32" s="1"/>
  <c r="E38" i="32" s="1"/>
  <c r="E39" i="32" s="1"/>
  <c r="E40" i="32" s="1"/>
  <c r="E41" i="32" s="1"/>
  <c r="E42" i="32" s="1"/>
  <c r="E43" i="32" s="1"/>
  <c r="E44" i="32" s="1"/>
  <c r="E45" i="32" s="1"/>
  <c r="E46" i="32" s="1"/>
  <c r="E47" i="32" s="1"/>
  <c r="E48" i="32" s="1"/>
  <c r="E49" i="32" s="1"/>
  <c r="E50" i="32" s="1"/>
  <c r="E51" i="32" s="1"/>
  <c r="E52" i="32" s="1"/>
  <c r="E53" i="32" s="1"/>
  <c r="E54" i="32" s="1"/>
  <c r="E55" i="32" s="1"/>
  <c r="E6" i="34"/>
  <c r="E7" i="34" s="1"/>
  <c r="E8" i="34" s="1"/>
  <c r="E9" i="34" s="1"/>
  <c r="E10" i="34" s="1"/>
  <c r="E11" i="34" s="1"/>
  <c r="E12" i="34" s="1"/>
  <c r="E13" i="34" s="1"/>
  <c r="E14" i="34" s="1"/>
  <c r="E15" i="34" s="1"/>
  <c r="E16" i="34" s="1"/>
  <c r="E17" i="34" s="1"/>
  <c r="E18" i="34" s="1"/>
  <c r="E19" i="34" s="1"/>
  <c r="E20" i="34" s="1"/>
  <c r="E21" i="34" s="1"/>
  <c r="E22" i="34" s="1"/>
  <c r="E23" i="34" s="1"/>
  <c r="E24" i="34" s="1"/>
  <c r="E25" i="34" s="1"/>
  <c r="E26" i="34" s="1"/>
  <c r="E27" i="34" s="1"/>
  <c r="E28" i="34" s="1"/>
  <c r="E29" i="34" s="1"/>
  <c r="E30" i="34" s="1"/>
  <c r="E31" i="34" s="1"/>
  <c r="E32" i="34" s="1"/>
  <c r="E33" i="34" s="1"/>
  <c r="E34" i="34" s="1"/>
  <c r="E35" i="34" s="1"/>
  <c r="E36" i="34" s="1"/>
  <c r="E37" i="34" s="1"/>
  <c r="E38" i="34" s="1"/>
  <c r="E39" i="34" s="1"/>
  <c r="E40" i="34" s="1"/>
  <c r="E41" i="34" s="1"/>
  <c r="E42" i="34" s="1"/>
  <c r="E43" i="34" s="1"/>
  <c r="E44" i="34" s="1"/>
  <c r="E45" i="34" s="1"/>
  <c r="E46" i="34" s="1"/>
  <c r="E47" i="34" s="1"/>
  <c r="E48" i="34" s="1"/>
  <c r="E49" i="34" s="1"/>
  <c r="E50" i="34" s="1"/>
  <c r="E51" i="34" s="1"/>
  <c r="E52" i="34" s="1"/>
  <c r="E53" i="34" s="1"/>
  <c r="E54" i="34" s="1"/>
  <c r="E55" i="34" s="1"/>
  <c r="E56" i="34" s="1"/>
  <c r="E57" i="34" s="1"/>
  <c r="E58" i="34" s="1"/>
  <c r="E59" i="34" s="1"/>
  <c r="E60" i="34" s="1"/>
  <c r="E61" i="34" s="1"/>
  <c r="E62" i="34" s="1"/>
  <c r="E63" i="34" s="1"/>
  <c r="E64" i="34" s="1"/>
  <c r="E65" i="34" s="1"/>
  <c r="E66" i="34" s="1"/>
  <c r="E67" i="34" s="1"/>
  <c r="E68" i="34" s="1"/>
  <c r="E69" i="34" s="1"/>
  <c r="E70" i="34" s="1"/>
  <c r="E6" i="35"/>
  <c r="E7" i="35" s="1"/>
  <c r="E8" i="35" s="1"/>
  <c r="E9" i="35" s="1"/>
  <c r="E10" i="35" s="1"/>
  <c r="E11" i="35" s="1"/>
  <c r="E12" i="35" s="1"/>
  <c r="E13" i="35" s="1"/>
  <c r="E14" i="35" s="1"/>
  <c r="E15" i="35" s="1"/>
  <c r="E16" i="35" s="1"/>
  <c r="E17" i="35" s="1"/>
  <c r="E18" i="35" s="1"/>
  <c r="E19" i="35" s="1"/>
  <c r="E20" i="35" s="1"/>
  <c r="E21" i="35" s="1"/>
  <c r="E22" i="35" s="1"/>
  <c r="E23" i="35" s="1"/>
  <c r="E24" i="35" s="1"/>
  <c r="E25" i="35" s="1"/>
  <c r="E26" i="35" s="1"/>
  <c r="E27" i="35" s="1"/>
  <c r="E28" i="35" s="1"/>
  <c r="E29" i="35" s="1"/>
  <c r="E30" i="35" s="1"/>
  <c r="E31" i="35" s="1"/>
  <c r="E32" i="35" s="1"/>
  <c r="E33" i="35" s="1"/>
  <c r="E34" i="35" s="1"/>
  <c r="E8" i="30"/>
  <c r="E9" i="30" s="1"/>
  <c r="E10" i="30" s="1"/>
  <c r="E11" i="30" s="1"/>
  <c r="E12" i="30" s="1"/>
  <c r="E13" i="30" s="1"/>
  <c r="E14" i="30" s="1"/>
  <c r="E15" i="30" s="1"/>
  <c r="E16" i="30" s="1"/>
  <c r="E17" i="30" s="1"/>
  <c r="E18" i="30" s="1"/>
  <c r="E19" i="30" s="1"/>
  <c r="E20" i="30" s="1"/>
  <c r="E21" i="30" s="1"/>
  <c r="E22" i="30" s="1"/>
  <c r="E23" i="30" s="1"/>
  <c r="E24" i="30" s="1"/>
  <c r="E25" i="30" s="1"/>
  <c r="E26" i="30" s="1"/>
  <c r="E27" i="30" s="1"/>
  <c r="E28" i="30" s="1"/>
  <c r="E29" i="30" s="1"/>
  <c r="E30" i="30" s="1"/>
  <c r="E31" i="30" s="1"/>
  <c r="E32" i="30" s="1"/>
  <c r="E33" i="30" s="1"/>
  <c r="E34" i="30" s="1"/>
  <c r="E35" i="30" s="1"/>
  <c r="E36" i="30" s="1"/>
  <c r="E37" i="30" s="1"/>
  <c r="E38" i="30" s="1"/>
  <c r="E39" i="30" s="1"/>
  <c r="E6" i="29"/>
  <c r="E7" i="29" s="1"/>
  <c r="E8" i="29" s="1"/>
  <c r="E9" i="29" s="1"/>
  <c r="E10" i="29" s="1"/>
  <c r="E11" i="29" s="1"/>
  <c r="E12" i="29" s="1"/>
  <c r="E13" i="29" s="1"/>
  <c r="E14" i="29" s="1"/>
  <c r="E15" i="29" s="1"/>
  <c r="E16" i="29" s="1"/>
  <c r="E17" i="29" s="1"/>
  <c r="E18" i="29" s="1"/>
  <c r="E19" i="29" s="1"/>
  <c r="E20" i="29" s="1"/>
  <c r="E21" i="29" s="1"/>
  <c r="E22" i="29" s="1"/>
  <c r="E23" i="29" s="1"/>
  <c r="E24" i="29" s="1"/>
  <c r="E25" i="29" s="1"/>
  <c r="E26" i="29" s="1"/>
  <c r="E27" i="29" s="1"/>
  <c r="E28" i="29" s="1"/>
  <c r="E29" i="29" s="1"/>
  <c r="E30" i="29" s="1"/>
  <c r="E31" i="29" s="1"/>
  <c r="E32" i="29" s="1"/>
  <c r="E33" i="29" s="1"/>
  <c r="E34" i="29" s="1"/>
  <c r="E35" i="29" s="1"/>
  <c r="E36" i="29" s="1"/>
  <c r="E37" i="29" s="1"/>
  <c r="E38" i="29" s="1"/>
  <c r="E39" i="29" s="1"/>
  <c r="E40" i="29" s="1"/>
  <c r="E41" i="29" s="1"/>
  <c r="E42" i="29" s="1"/>
  <c r="E43" i="29" s="1"/>
  <c r="E44" i="29" s="1"/>
  <c r="E45" i="29" s="1"/>
  <c r="E46" i="29" s="1"/>
  <c r="E47" i="29" s="1"/>
  <c r="E48" i="29" s="1"/>
  <c r="E49" i="29" s="1"/>
  <c r="E50" i="29" s="1"/>
  <c r="E6" i="33"/>
  <c r="E7" i="33" s="1"/>
  <c r="E8" i="33" s="1"/>
  <c r="E9" i="33" s="1"/>
  <c r="E10" i="33" s="1"/>
  <c r="E11" i="33" s="1"/>
  <c r="E12" i="33" s="1"/>
  <c r="E13" i="33" s="1"/>
  <c r="E14" i="33" s="1"/>
  <c r="E15" i="33" s="1"/>
  <c r="E16" i="33" s="1"/>
  <c r="E17" i="33" s="1"/>
  <c r="E18" i="33" s="1"/>
  <c r="E19" i="33" s="1"/>
  <c r="E20" i="33" s="1"/>
  <c r="E21" i="33" s="1"/>
  <c r="E22" i="33" s="1"/>
  <c r="E23" i="33" s="1"/>
  <c r="E24" i="33" s="1"/>
  <c r="E25" i="33" s="1"/>
  <c r="E26" i="33" s="1"/>
  <c r="E27" i="33" s="1"/>
  <c r="E28" i="33" s="1"/>
  <c r="E29" i="33" s="1"/>
  <c r="E30" i="33" s="1"/>
  <c r="E31" i="33" s="1"/>
  <c r="E32" i="33" s="1"/>
  <c r="E33" i="33" s="1"/>
  <c r="E34" i="33" s="1"/>
  <c r="E35" i="33" s="1"/>
  <c r="E36" i="33" s="1"/>
  <c r="E37" i="33" s="1"/>
  <c r="E38" i="33" s="1"/>
  <c r="E39" i="33" s="1"/>
  <c r="E40" i="33" s="1"/>
  <c r="E41" i="33" s="1"/>
  <c r="E42" i="33" s="1"/>
  <c r="E43" i="33" s="1"/>
  <c r="E44" i="33" s="1"/>
  <c r="E45" i="33" s="1"/>
  <c r="F32" i="34"/>
  <c r="F36" i="34"/>
  <c r="F40" i="34"/>
  <c r="F66" i="34"/>
  <c r="F43" i="34"/>
  <c r="F47" i="34"/>
  <c r="F50" i="34"/>
  <c r="F54" i="34"/>
  <c r="F58" i="34"/>
  <c r="F62" i="34"/>
  <c r="L8" i="26"/>
  <c r="I9" i="26"/>
  <c r="J9" i="26" s="1"/>
  <c r="I8" i="82"/>
  <c r="J8" i="82" s="1"/>
  <c r="L7" i="82"/>
  <c r="I8" i="81"/>
  <c r="J8" i="81" s="1"/>
  <c r="L7" i="81"/>
  <c r="E11" i="80"/>
  <c r="D14" i="28"/>
  <c r="C53" i="28"/>
  <c r="D53" i="28" s="1"/>
  <c r="C41" i="28"/>
  <c r="D41" i="28" s="1"/>
  <c r="C25" i="28"/>
  <c r="D25" i="28" s="1"/>
  <c r="D9" i="28"/>
  <c r="D33" i="28"/>
  <c r="C10" i="28"/>
  <c r="D10" i="28" s="1"/>
  <c r="C6" i="28"/>
  <c r="D6" i="28" s="1"/>
  <c r="E6" i="28" s="1"/>
  <c r="E7" i="28" s="1"/>
  <c r="D18" i="28"/>
  <c r="D21" i="28"/>
  <c r="D29" i="28"/>
  <c r="D37" i="28"/>
  <c r="D45" i="28"/>
  <c r="C60" i="28"/>
  <c r="D60" i="28" s="1"/>
  <c r="F60" i="28" s="1"/>
  <c r="C16" i="28"/>
  <c r="D16" i="28" s="1"/>
  <c r="C12" i="28"/>
  <c r="D12" i="28" s="1"/>
  <c r="C8" i="28"/>
  <c r="D8" i="28" s="1"/>
  <c r="F31" i="34"/>
  <c r="F9" i="76"/>
  <c r="F2" i="60"/>
  <c r="F7" i="34"/>
  <c r="F15" i="34"/>
  <c r="F19" i="34"/>
  <c r="F10" i="34"/>
  <c r="F13" i="34"/>
  <c r="F16" i="34"/>
  <c r="F20" i="34"/>
  <c r="F22" i="34"/>
  <c r="F26" i="34"/>
  <c r="F29" i="34"/>
  <c r="F23" i="34"/>
  <c r="F34" i="34"/>
  <c r="F38" i="34"/>
  <c r="F50" i="76"/>
  <c r="F34" i="76"/>
  <c r="F18" i="76"/>
  <c r="F62" i="76"/>
  <c r="F46" i="76"/>
  <c r="F30" i="76"/>
  <c r="F14" i="76"/>
  <c r="F60" i="76"/>
  <c r="F44" i="76"/>
  <c r="F28" i="76"/>
  <c r="F12" i="76"/>
  <c r="F59" i="76"/>
  <c r="F43" i="76"/>
  <c r="F27" i="76"/>
  <c r="F11" i="76"/>
  <c r="F52" i="76"/>
  <c r="F36" i="76"/>
  <c r="F20" i="76"/>
  <c r="F48" i="76"/>
  <c r="F32" i="76"/>
  <c r="F16" i="76"/>
  <c r="F63" i="76"/>
  <c r="F47" i="76"/>
  <c r="F31" i="76"/>
  <c r="F15" i="76"/>
  <c r="F49" i="76"/>
  <c r="F33" i="76"/>
  <c r="F17" i="76"/>
  <c r="F5" i="76"/>
  <c r="G5" i="76" s="1"/>
  <c r="F55" i="76"/>
  <c r="F39" i="76"/>
  <c r="F23" i="76"/>
  <c r="F7" i="76"/>
  <c r="F51" i="76"/>
  <c r="F35" i="76"/>
  <c r="F19" i="76"/>
  <c r="F53" i="76"/>
  <c r="F37" i="76"/>
  <c r="F21" i="76"/>
  <c r="F54" i="76"/>
  <c r="F38" i="76"/>
  <c r="F22" i="76"/>
  <c r="F6" i="76"/>
  <c r="F2" i="31"/>
  <c r="F19" i="31" s="1"/>
  <c r="F61" i="76"/>
  <c r="F45" i="76"/>
  <c r="F29" i="76"/>
  <c r="F13" i="76"/>
  <c r="F57" i="76"/>
  <c r="F41" i="76"/>
  <c r="F25" i="76"/>
  <c r="F8" i="76"/>
  <c r="F58" i="76"/>
  <c r="F42" i="76"/>
  <c r="F26" i="76"/>
  <c r="F10" i="76"/>
  <c r="F56" i="76"/>
  <c r="F40" i="76"/>
  <c r="F24" i="76"/>
  <c r="F8" i="34"/>
  <c r="F11" i="34"/>
  <c r="F14" i="34"/>
  <c r="F17" i="34"/>
  <c r="F21" i="34"/>
  <c r="F24" i="34"/>
  <c r="F28" i="34"/>
  <c r="F41" i="34"/>
  <c r="F45" i="34"/>
  <c r="F52" i="34"/>
  <c r="F56" i="34"/>
  <c r="F60" i="34"/>
  <c r="F64" i="34"/>
  <c r="F68" i="34"/>
  <c r="F65" i="34"/>
  <c r="F6" i="34"/>
  <c r="F9" i="34"/>
  <c r="F12" i="34"/>
  <c r="F18" i="34"/>
  <c r="F25" i="34"/>
  <c r="F35" i="34"/>
  <c r="F39" i="34"/>
  <c r="F42" i="34"/>
  <c r="F46" i="34"/>
  <c r="F49" i="34"/>
  <c r="F53" i="34"/>
  <c r="F57" i="34"/>
  <c r="F61" i="34"/>
  <c r="F69" i="34"/>
  <c r="F67" i="34"/>
  <c r="F27" i="34"/>
  <c r="F30" i="34"/>
  <c r="F33" i="34"/>
  <c r="F37" i="34"/>
  <c r="F44" i="34"/>
  <c r="F48" i="34"/>
  <c r="F51" i="34"/>
  <c r="F55" i="34"/>
  <c r="F59" i="34"/>
  <c r="F63" i="34"/>
  <c r="F70" i="34"/>
  <c r="F5" i="34"/>
  <c r="G5" i="34" s="1"/>
  <c r="D39" i="28"/>
  <c r="D51" i="28"/>
  <c r="D19" i="28"/>
  <c r="D31" i="28"/>
  <c r="D43" i="28"/>
  <c r="D55" i="28"/>
  <c r="D27" i="28"/>
  <c r="D47" i="28"/>
  <c r="D23" i="28"/>
  <c r="D35" i="28"/>
  <c r="D59" i="28"/>
  <c r="E8" i="28" l="1"/>
  <c r="E9" i="28" s="1"/>
  <c r="E10" i="28" s="1"/>
  <c r="E11" i="28" s="1"/>
  <c r="E12" i="28" s="1"/>
  <c r="E13" i="28" s="1"/>
  <c r="E14" i="28" s="1"/>
  <c r="E15" i="28" s="1"/>
  <c r="E16" i="28" s="1"/>
  <c r="E17" i="28" s="1"/>
  <c r="E18" i="28" s="1"/>
  <c r="E19" i="28" s="1"/>
  <c r="E20" i="28" s="1"/>
  <c r="E21" i="28" s="1"/>
  <c r="E22" i="28" s="1"/>
  <c r="E23" i="28" s="1"/>
  <c r="E24" i="28" s="1"/>
  <c r="E25" i="28" s="1"/>
  <c r="E26" i="28" s="1"/>
  <c r="E27" i="28" s="1"/>
  <c r="E28" i="28" s="1"/>
  <c r="E29" i="28" s="1"/>
  <c r="E30" i="28" s="1"/>
  <c r="E31" i="28" s="1"/>
  <c r="E32" i="28" s="1"/>
  <c r="E33" i="28" s="1"/>
  <c r="E34" i="28" s="1"/>
  <c r="E35" i="28" s="1"/>
  <c r="E36" i="28" s="1"/>
  <c r="E37" i="28" s="1"/>
  <c r="E38" i="28" s="1"/>
  <c r="E39" i="28" s="1"/>
  <c r="E40" i="28" s="1"/>
  <c r="E41" i="28" s="1"/>
  <c r="E42" i="28" s="1"/>
  <c r="E43" i="28" s="1"/>
  <c r="E44" i="28" s="1"/>
  <c r="E45" i="28" s="1"/>
  <c r="E46" i="28" s="1"/>
  <c r="E47" i="28" s="1"/>
  <c r="E48" i="28" s="1"/>
  <c r="E49" i="28" s="1"/>
  <c r="E50" i="28" s="1"/>
  <c r="E51" i="28" s="1"/>
  <c r="E52" i="28" s="1"/>
  <c r="E53" i="28" s="1"/>
  <c r="E54" i="28" s="1"/>
  <c r="E55" i="28" s="1"/>
  <c r="E56" i="28" s="1"/>
  <c r="E57" i="28" s="1"/>
  <c r="E58" i="28" s="1"/>
  <c r="E59" i="28" s="1"/>
  <c r="E60" i="28" s="1"/>
  <c r="L9" i="26"/>
  <c r="I10" i="26"/>
  <c r="J10" i="26" s="1"/>
  <c r="L8" i="82"/>
  <c r="I9" i="82"/>
  <c r="J9" i="82" s="1"/>
  <c r="L8" i="81"/>
  <c r="I9" i="81"/>
  <c r="J9" i="81" s="1"/>
  <c r="E12" i="80"/>
  <c r="F2" i="64"/>
  <c r="F2" i="62"/>
  <c r="F45" i="31"/>
  <c r="F37" i="31"/>
  <c r="F61" i="31"/>
  <c r="F57" i="31"/>
  <c r="F42" i="31"/>
  <c r="F12" i="31"/>
  <c r="F59" i="31"/>
  <c r="F11" i="31"/>
  <c r="F28" i="31"/>
  <c r="F9" i="31"/>
  <c r="F22" i="31"/>
  <c r="F27" i="31"/>
  <c r="F49" i="31"/>
  <c r="F43" i="31"/>
  <c r="F25" i="31"/>
  <c r="F53" i="31"/>
  <c r="F58" i="31"/>
  <c r="F44" i="31"/>
  <c r="F56" i="31"/>
  <c r="F54" i="31"/>
  <c r="F39" i="31"/>
  <c r="F24" i="31"/>
  <c r="F8" i="31"/>
  <c r="F55" i="31"/>
  <c r="F40" i="31"/>
  <c r="F21" i="31"/>
  <c r="F6" i="31"/>
  <c r="F52" i="31"/>
  <c r="F33" i="31"/>
  <c r="F18" i="31"/>
  <c r="F38" i="31"/>
  <c r="F23" i="31"/>
  <c r="F7" i="31"/>
  <c r="F2" i="28"/>
  <c r="F23" i="28" s="1"/>
  <c r="F63" i="31"/>
  <c r="F46" i="31"/>
  <c r="F31" i="31"/>
  <c r="F16" i="31"/>
  <c r="F62" i="31"/>
  <c r="F47" i="31"/>
  <c r="F32" i="31"/>
  <c r="F13" i="31"/>
  <c r="F60" i="31"/>
  <c r="F41" i="31"/>
  <c r="F26" i="31"/>
  <c r="F10" i="31"/>
  <c r="F30" i="31"/>
  <c r="F15" i="31"/>
  <c r="F50" i="31"/>
  <c r="F35" i="31"/>
  <c r="F20" i="31"/>
  <c r="F5" i="31"/>
  <c r="G5" i="31" s="1"/>
  <c r="F51" i="31"/>
  <c r="F36" i="31"/>
  <c r="F17" i="31"/>
  <c r="F48" i="31"/>
  <c r="F29" i="31"/>
  <c r="F14" i="31"/>
  <c r="F34" i="31"/>
  <c r="G6" i="76"/>
  <c r="G6" i="75"/>
  <c r="G6" i="34"/>
  <c r="G6" i="31" l="1"/>
  <c r="I11" i="26"/>
  <c r="J11" i="26" s="1"/>
  <c r="L10" i="26"/>
  <c r="L9" i="82"/>
  <c r="I10" i="82"/>
  <c r="J10" i="82" s="1"/>
  <c r="L9" i="81"/>
  <c r="I10" i="81"/>
  <c r="J10" i="81" s="1"/>
  <c r="E13" i="80"/>
  <c r="F2" i="66"/>
  <c r="F2" i="63"/>
  <c r="F2" i="71"/>
  <c r="F27" i="28"/>
  <c r="F31" i="28"/>
  <c r="F55" i="28"/>
  <c r="F59" i="28"/>
  <c r="F51" i="28"/>
  <c r="F35" i="28"/>
  <c r="F47" i="28"/>
  <c r="F19" i="28"/>
  <c r="F43" i="28"/>
  <c r="F2" i="32"/>
  <c r="F15" i="77"/>
  <c r="F31" i="77"/>
  <c r="F47" i="77"/>
  <c r="F12" i="77"/>
  <c r="F28" i="77"/>
  <c r="F44" i="77"/>
  <c r="F14" i="77"/>
  <c r="F30" i="77"/>
  <c r="F46" i="77"/>
  <c r="F21" i="77"/>
  <c r="F37" i="77"/>
  <c r="F53" i="77"/>
  <c r="F10" i="77"/>
  <c r="F26" i="77"/>
  <c r="F42" i="77"/>
  <c r="F58" i="77"/>
  <c r="F9" i="77"/>
  <c r="F25" i="77"/>
  <c r="F41" i="77"/>
  <c r="F57" i="77"/>
  <c r="F11" i="77"/>
  <c r="F27" i="77"/>
  <c r="F43" i="77"/>
  <c r="F59" i="77"/>
  <c r="F16" i="77"/>
  <c r="F32" i="77"/>
  <c r="F48" i="77"/>
  <c r="F7" i="77"/>
  <c r="G7" i="77" s="1"/>
  <c r="F23" i="77"/>
  <c r="F39" i="77"/>
  <c r="F55" i="77"/>
  <c r="F20" i="77"/>
  <c r="F36" i="77"/>
  <c r="F52" i="77"/>
  <c r="F6" i="77"/>
  <c r="G6" i="77" s="1"/>
  <c r="F22" i="77"/>
  <c r="F38" i="77"/>
  <c r="F54" i="77"/>
  <c r="F13" i="77"/>
  <c r="F29" i="77"/>
  <c r="F45" i="77"/>
  <c r="F5" i="77"/>
  <c r="G5" i="77" s="1"/>
  <c r="F18" i="77"/>
  <c r="F34" i="77"/>
  <c r="F50" i="77"/>
  <c r="F17" i="77"/>
  <c r="F33" i="77"/>
  <c r="F49" i="77"/>
  <c r="F19" i="77"/>
  <c r="F35" i="77"/>
  <c r="F51" i="77"/>
  <c r="F8" i="77"/>
  <c r="F24" i="77"/>
  <c r="F40" i="77"/>
  <c r="F56" i="77"/>
  <c r="F42" i="28"/>
  <c r="F18" i="28"/>
  <c r="F10" i="28"/>
  <c r="F38" i="28"/>
  <c r="F16" i="28"/>
  <c r="F48" i="28"/>
  <c r="F58" i="28"/>
  <c r="F14" i="28"/>
  <c r="F22" i="28"/>
  <c r="F29" i="28"/>
  <c r="F54" i="28"/>
  <c r="F28" i="28"/>
  <c r="F26" i="28"/>
  <c r="F34" i="28"/>
  <c r="F57" i="28"/>
  <c r="F33" i="28"/>
  <c r="F9" i="28"/>
  <c r="F40" i="28"/>
  <c r="F56" i="28"/>
  <c r="F7" i="28"/>
  <c r="F44" i="28"/>
  <c r="F6" i="28"/>
  <c r="G6" i="28" s="1"/>
  <c r="F52" i="28"/>
  <c r="F21" i="28"/>
  <c r="F36" i="28"/>
  <c r="F32" i="28"/>
  <c r="F11" i="28"/>
  <c r="F49" i="28"/>
  <c r="F12" i="28"/>
  <c r="F45" i="28"/>
  <c r="F37" i="28"/>
  <c r="F20" i="28"/>
  <c r="F13" i="28"/>
  <c r="F41" i="28"/>
  <c r="F24" i="28"/>
  <c r="F50" i="28"/>
  <c r="F15" i="28"/>
  <c r="F17" i="28"/>
  <c r="F30" i="28"/>
  <c r="F5" i="28"/>
  <c r="G5" i="28" s="1"/>
  <c r="F8" i="28"/>
  <c r="F25" i="28"/>
  <c r="F53" i="28"/>
  <c r="F46" i="28"/>
  <c r="F39" i="28"/>
  <c r="G7" i="76"/>
  <c r="G7" i="75"/>
  <c r="G7" i="34"/>
  <c r="G7" i="31"/>
  <c r="L11" i="26" l="1"/>
  <c r="I12" i="26"/>
  <c r="J12" i="26" s="1"/>
  <c r="L10" i="82"/>
  <c r="I11" i="82"/>
  <c r="J11" i="82" s="1"/>
  <c r="L10" i="81"/>
  <c r="I11" i="81"/>
  <c r="J11" i="81" s="1"/>
  <c r="E14" i="80"/>
  <c r="F2" i="69"/>
  <c r="F2" i="73"/>
  <c r="F2" i="61"/>
  <c r="F9" i="59"/>
  <c r="F25" i="59"/>
  <c r="F16" i="59"/>
  <c r="F26" i="59"/>
  <c r="F45" i="59"/>
  <c r="F37" i="59"/>
  <c r="F53" i="59"/>
  <c r="F27" i="59"/>
  <c r="F43" i="59"/>
  <c r="F20" i="59"/>
  <c r="F38" i="59"/>
  <c r="F54" i="59"/>
  <c r="F6" i="59"/>
  <c r="G6" i="59" s="1"/>
  <c r="F22" i="59"/>
  <c r="F11" i="59"/>
  <c r="F21" i="59"/>
  <c r="F42" i="59"/>
  <c r="F34" i="59"/>
  <c r="F50" i="59"/>
  <c r="F24" i="59"/>
  <c r="F36" i="59"/>
  <c r="F52" i="59"/>
  <c r="F15" i="59"/>
  <c r="F35" i="59"/>
  <c r="F51" i="59"/>
  <c r="F5" i="59"/>
  <c r="G5" i="59" s="1"/>
  <c r="F29" i="59"/>
  <c r="F17" i="59"/>
  <c r="F8" i="59"/>
  <c r="G8" i="59" s="1"/>
  <c r="F10" i="59"/>
  <c r="F39" i="59"/>
  <c r="F31" i="59"/>
  <c r="F47" i="59"/>
  <c r="F33" i="59"/>
  <c r="F49" i="59"/>
  <c r="F12" i="59"/>
  <c r="F28" i="59"/>
  <c r="F44" i="59"/>
  <c r="F18" i="59"/>
  <c r="F14" i="59"/>
  <c r="F13" i="59"/>
  <c r="F19" i="59"/>
  <c r="F32" i="59"/>
  <c r="F48" i="59"/>
  <c r="F40" i="59"/>
  <c r="F30" i="59"/>
  <c r="F46" i="59"/>
  <c r="F7" i="59"/>
  <c r="G7" i="59" s="1"/>
  <c r="F23" i="59"/>
  <c r="F41" i="59"/>
  <c r="F10" i="32"/>
  <c r="F18" i="32"/>
  <c r="F36" i="32"/>
  <c r="F51" i="32"/>
  <c r="F13" i="32"/>
  <c r="F31" i="32"/>
  <c r="F45" i="32"/>
  <c r="F6" i="32"/>
  <c r="G6" i="32" s="1"/>
  <c r="F20" i="32"/>
  <c r="F34" i="32"/>
  <c r="F50" i="32"/>
  <c r="F8" i="32"/>
  <c r="F22" i="32"/>
  <c r="F37" i="32"/>
  <c r="F53" i="32"/>
  <c r="F5" i="32"/>
  <c r="G5" i="32" s="1"/>
  <c r="F12" i="32"/>
  <c r="F44" i="32"/>
  <c r="F29" i="32"/>
  <c r="F14" i="32"/>
  <c r="F32" i="32"/>
  <c r="F48" i="32"/>
  <c r="F27" i="32"/>
  <c r="F41" i="32"/>
  <c r="F16" i="32"/>
  <c r="F30" i="32"/>
  <c r="F47" i="32"/>
  <c r="F19" i="32"/>
  <c r="F33" i="32"/>
  <c r="F49" i="32"/>
  <c r="F42" i="32"/>
  <c r="F21" i="32"/>
  <c r="F46" i="32"/>
  <c r="F24" i="32"/>
  <c r="F39" i="32"/>
  <c r="F17" i="32"/>
  <c r="F35" i="32"/>
  <c r="F9" i="32"/>
  <c r="F23" i="32"/>
  <c r="F40" i="32"/>
  <c r="F54" i="32"/>
  <c r="F11" i="32"/>
  <c r="F25" i="32"/>
  <c r="F43" i="32"/>
  <c r="F7" i="32"/>
  <c r="G7" i="32" s="1"/>
  <c r="F28" i="32"/>
  <c r="F38" i="32"/>
  <c r="F26" i="32"/>
  <c r="F52" i="32"/>
  <c r="F15" i="32"/>
  <c r="F2" i="29"/>
  <c r="G8" i="77"/>
  <c r="G8" i="76"/>
  <c r="G8" i="75"/>
  <c r="G8" i="34"/>
  <c r="G8" i="31"/>
  <c r="G7" i="28"/>
  <c r="L12" i="26" l="1"/>
  <c r="I13" i="26"/>
  <c r="J13" i="26" s="1"/>
  <c r="L11" i="82"/>
  <c r="I12" i="82"/>
  <c r="J12" i="82" s="1"/>
  <c r="L11" i="81"/>
  <c r="I12" i="81"/>
  <c r="J12" i="81" s="1"/>
  <c r="E15" i="80"/>
  <c r="F2" i="67"/>
  <c r="F2" i="65"/>
  <c r="F10" i="29"/>
  <c r="F26" i="29"/>
  <c r="F42" i="29"/>
  <c r="F13" i="29"/>
  <c r="F29" i="29"/>
  <c r="F45" i="29"/>
  <c r="F8" i="29"/>
  <c r="G8" i="29" s="1"/>
  <c r="F24" i="29"/>
  <c r="F40" i="29"/>
  <c r="F15" i="29"/>
  <c r="F31" i="29"/>
  <c r="F47" i="29"/>
  <c r="F21" i="29"/>
  <c r="F37" i="29"/>
  <c r="F16" i="29"/>
  <c r="F23" i="29"/>
  <c r="F6" i="29"/>
  <c r="G6" i="29" s="1"/>
  <c r="F22" i="29"/>
  <c r="F38" i="29"/>
  <c r="F9" i="29"/>
  <c r="F25" i="29"/>
  <c r="F41" i="29"/>
  <c r="F20" i="29"/>
  <c r="F36" i="29"/>
  <c r="F11" i="29"/>
  <c r="F27" i="29"/>
  <c r="F43" i="29"/>
  <c r="F5" i="29"/>
  <c r="G5" i="29" s="1"/>
  <c r="F34" i="29"/>
  <c r="F48" i="29"/>
  <c r="F7" i="29"/>
  <c r="G7" i="29" s="1"/>
  <c r="F39" i="29"/>
  <c r="F14" i="29"/>
  <c r="F30" i="29"/>
  <c r="F46" i="29"/>
  <c r="F17" i="29"/>
  <c r="F33" i="29"/>
  <c r="F49" i="29"/>
  <c r="F12" i="29"/>
  <c r="F28" i="29"/>
  <c r="F44" i="29"/>
  <c r="F19" i="29"/>
  <c r="F35" i="29"/>
  <c r="F18" i="29"/>
  <c r="F32" i="29"/>
  <c r="F2" i="33"/>
  <c r="F17" i="64"/>
  <c r="F13" i="64"/>
  <c r="F29" i="64"/>
  <c r="F45" i="64"/>
  <c r="F14" i="64"/>
  <c r="F15" i="64"/>
  <c r="F31" i="64"/>
  <c r="F7" i="64"/>
  <c r="G7" i="64" s="1"/>
  <c r="F8" i="64"/>
  <c r="G8" i="64" s="1"/>
  <c r="F24" i="64"/>
  <c r="F39" i="64"/>
  <c r="F5" i="64"/>
  <c r="G5" i="64" s="1"/>
  <c r="F10" i="64"/>
  <c r="F26" i="64"/>
  <c r="F40" i="64"/>
  <c r="F46" i="64"/>
  <c r="F12" i="64"/>
  <c r="F28" i="64"/>
  <c r="F49" i="64"/>
  <c r="F43" i="64"/>
  <c r="F21" i="64"/>
  <c r="F37" i="64"/>
  <c r="F41" i="64"/>
  <c r="F19" i="64"/>
  <c r="F35" i="64"/>
  <c r="F33" i="64"/>
  <c r="F9" i="64"/>
  <c r="G9" i="64" s="1"/>
  <c r="F25" i="64"/>
  <c r="F44" i="64"/>
  <c r="F36" i="64"/>
  <c r="F18" i="64"/>
  <c r="F34" i="64"/>
  <c r="F48" i="64"/>
  <c r="F30" i="64"/>
  <c r="F16" i="64"/>
  <c r="F32" i="64"/>
  <c r="F47" i="64"/>
  <c r="F23" i="64"/>
  <c r="F6" i="64"/>
  <c r="G6" i="64" s="1"/>
  <c r="F22" i="64"/>
  <c r="F38" i="64"/>
  <c r="F20" i="64"/>
  <c r="F11" i="64"/>
  <c r="F27" i="64"/>
  <c r="F42" i="64"/>
  <c r="F21" i="60"/>
  <c r="F37" i="60"/>
  <c r="F20" i="60"/>
  <c r="F36" i="60"/>
  <c r="F9" i="60"/>
  <c r="G9" i="60" s="1"/>
  <c r="F23" i="60"/>
  <c r="F39" i="60"/>
  <c r="F8" i="60"/>
  <c r="G8" i="60" s="1"/>
  <c r="F25" i="60"/>
  <c r="F41" i="60"/>
  <c r="F15" i="60"/>
  <c r="F31" i="60"/>
  <c r="F47" i="60"/>
  <c r="F17" i="60"/>
  <c r="F33" i="60"/>
  <c r="F49" i="60"/>
  <c r="F7" i="60"/>
  <c r="G7" i="60" s="1"/>
  <c r="F18" i="60"/>
  <c r="F34" i="60"/>
  <c r="F19" i="60"/>
  <c r="F35" i="60"/>
  <c r="F10" i="60"/>
  <c r="F26" i="60"/>
  <c r="F42" i="60"/>
  <c r="F11" i="60"/>
  <c r="F27" i="60"/>
  <c r="F43" i="60"/>
  <c r="F16" i="60"/>
  <c r="F32" i="60"/>
  <c r="F48" i="60"/>
  <c r="F14" i="60"/>
  <c r="F30" i="60"/>
  <c r="F46" i="60"/>
  <c r="F5" i="60"/>
  <c r="G5" i="60" s="1"/>
  <c r="F24" i="60"/>
  <c r="F40" i="60"/>
  <c r="F6" i="60"/>
  <c r="G6" i="60" s="1"/>
  <c r="F22" i="60"/>
  <c r="F38" i="60"/>
  <c r="F13" i="60"/>
  <c r="F29" i="60"/>
  <c r="F45" i="60"/>
  <c r="F12" i="60"/>
  <c r="F28" i="60"/>
  <c r="F44" i="60"/>
  <c r="F6" i="61"/>
  <c r="G6" i="61" s="1"/>
  <c r="F25" i="61"/>
  <c r="F41" i="61"/>
  <c r="F10" i="61"/>
  <c r="F26" i="61"/>
  <c r="F42" i="61"/>
  <c r="F9" i="61"/>
  <c r="G9" i="61" s="1"/>
  <c r="F23" i="61"/>
  <c r="F39" i="61"/>
  <c r="F11" i="61"/>
  <c r="F27" i="61"/>
  <c r="F43" i="61"/>
  <c r="F22" i="61"/>
  <c r="F38" i="61"/>
  <c r="F24" i="61"/>
  <c r="F40" i="61"/>
  <c r="F7" i="61"/>
  <c r="G7" i="61" s="1"/>
  <c r="F17" i="61"/>
  <c r="F33" i="61"/>
  <c r="F49" i="61"/>
  <c r="F8" i="61"/>
  <c r="G8" i="61" s="1"/>
  <c r="F21" i="61"/>
  <c r="F37" i="61"/>
  <c r="F20" i="61"/>
  <c r="F36" i="61"/>
  <c r="F19" i="61"/>
  <c r="F35" i="61"/>
  <c r="F14" i="61"/>
  <c r="F30" i="61"/>
  <c r="F46" i="61"/>
  <c r="F18" i="61"/>
  <c r="F34" i="61"/>
  <c r="F15" i="61"/>
  <c r="F31" i="61"/>
  <c r="F47" i="61"/>
  <c r="F13" i="61"/>
  <c r="F29" i="61"/>
  <c r="F45" i="61"/>
  <c r="F12" i="61"/>
  <c r="F28" i="61"/>
  <c r="F44" i="61"/>
  <c r="F16" i="61"/>
  <c r="F32" i="61"/>
  <c r="F48" i="61"/>
  <c r="F5" i="61"/>
  <c r="G5" i="61" s="1"/>
  <c r="G9" i="77"/>
  <c r="G9" i="76"/>
  <c r="G9" i="75"/>
  <c r="G9" i="59"/>
  <c r="G9" i="34"/>
  <c r="G8" i="32"/>
  <c r="G9" i="31"/>
  <c r="G8" i="28"/>
  <c r="L13" i="26" l="1"/>
  <c r="I14" i="26"/>
  <c r="J14" i="26" s="1"/>
  <c r="L12" i="82"/>
  <c r="I13" i="82"/>
  <c r="J13" i="82" s="1"/>
  <c r="L12" i="81"/>
  <c r="I13" i="81"/>
  <c r="J13" i="81" s="1"/>
  <c r="E16" i="80"/>
  <c r="F2" i="74"/>
  <c r="F2" i="70"/>
  <c r="F2" i="72"/>
  <c r="F2" i="68"/>
  <c r="F2" i="35"/>
  <c r="F2" i="30"/>
  <c r="F12" i="67"/>
  <c r="F28" i="67"/>
  <c r="F44" i="67"/>
  <c r="F19" i="67"/>
  <c r="F35" i="67"/>
  <c r="F15" i="67"/>
  <c r="F31" i="67"/>
  <c r="F11" i="67"/>
  <c r="F27" i="67"/>
  <c r="F43" i="67"/>
  <c r="F10" i="67"/>
  <c r="G10" i="67" s="1"/>
  <c r="F26" i="67"/>
  <c r="F42" i="67"/>
  <c r="F13" i="67"/>
  <c r="F29" i="67"/>
  <c r="F9" i="67"/>
  <c r="G9" i="67" s="1"/>
  <c r="F25" i="67"/>
  <c r="F41" i="67"/>
  <c r="F8" i="67"/>
  <c r="G8" i="67" s="1"/>
  <c r="F21" i="67"/>
  <c r="F37" i="67"/>
  <c r="F23" i="67"/>
  <c r="F39" i="67"/>
  <c r="F7" i="67"/>
  <c r="G7" i="67" s="1"/>
  <c r="F24" i="67"/>
  <c r="F40" i="67"/>
  <c r="F6" i="67"/>
  <c r="G6" i="67" s="1"/>
  <c r="F20" i="67"/>
  <c r="F36" i="67"/>
  <c r="F16" i="67"/>
  <c r="F32" i="67"/>
  <c r="F17" i="67"/>
  <c r="F33" i="67"/>
  <c r="F22" i="67"/>
  <c r="F38" i="67"/>
  <c r="F18" i="67"/>
  <c r="F34" i="67"/>
  <c r="F14" i="67"/>
  <c r="F30" i="67"/>
  <c r="F5" i="67"/>
  <c r="G5" i="67" s="1"/>
  <c r="F20" i="33"/>
  <c r="F35" i="33"/>
  <c r="F12" i="33"/>
  <c r="F27" i="33"/>
  <c r="F42" i="33"/>
  <c r="F18" i="33"/>
  <c r="F37" i="33"/>
  <c r="F21" i="33"/>
  <c r="F36" i="33"/>
  <c r="F13" i="33"/>
  <c r="F34" i="33"/>
  <c r="F26" i="33"/>
  <c r="F44" i="33"/>
  <c r="F17" i="33"/>
  <c r="F32" i="33"/>
  <c r="F8" i="33"/>
  <c r="G8" i="33" s="1"/>
  <c r="F23" i="33"/>
  <c r="F38" i="33"/>
  <c r="F15" i="33"/>
  <c r="F30" i="33"/>
  <c r="F14" i="33"/>
  <c r="F33" i="33"/>
  <c r="F5" i="33"/>
  <c r="G5" i="33" s="1"/>
  <c r="F19" i="33"/>
  <c r="F29" i="33"/>
  <c r="F9" i="33"/>
  <c r="G9" i="33" s="1"/>
  <c r="F24" i="33"/>
  <c r="F16" i="33"/>
  <c r="F31" i="33"/>
  <c r="F7" i="33"/>
  <c r="G7" i="33" s="1"/>
  <c r="F22" i="33"/>
  <c r="F41" i="33"/>
  <c r="F39" i="33"/>
  <c r="F6" i="33"/>
  <c r="G6" i="33" s="1"/>
  <c r="F25" i="33"/>
  <c r="F40" i="33"/>
  <c r="F43" i="33"/>
  <c r="F28" i="33"/>
  <c r="F11" i="33"/>
  <c r="F10" i="33"/>
  <c r="G10" i="33" s="1"/>
  <c r="F31" i="65"/>
  <c r="F13" i="65"/>
  <c r="F29" i="65"/>
  <c r="F6" i="65"/>
  <c r="G6" i="65" s="1"/>
  <c r="F7" i="65"/>
  <c r="G7" i="65" s="1"/>
  <c r="F25" i="65"/>
  <c r="F41" i="65"/>
  <c r="F9" i="65"/>
  <c r="G9" i="65" s="1"/>
  <c r="F44" i="65"/>
  <c r="F10" i="65"/>
  <c r="G10" i="65" s="1"/>
  <c r="F26" i="65"/>
  <c r="F42" i="65"/>
  <c r="F15" i="65"/>
  <c r="F11" i="65"/>
  <c r="G11" i="65" s="1"/>
  <c r="F27" i="65"/>
  <c r="F43" i="65"/>
  <c r="F23" i="65"/>
  <c r="F39" i="65"/>
  <c r="F33" i="65"/>
  <c r="F8" i="65"/>
  <c r="G8" i="65" s="1"/>
  <c r="F21" i="65"/>
  <c r="F37" i="65"/>
  <c r="F5" i="65"/>
  <c r="G5" i="65" s="1"/>
  <c r="F24" i="65"/>
  <c r="F40" i="65"/>
  <c r="F28" i="65"/>
  <c r="F20" i="65"/>
  <c r="F36" i="65"/>
  <c r="F22" i="65"/>
  <c r="F19" i="65"/>
  <c r="F35" i="65"/>
  <c r="F38" i="65"/>
  <c r="F18" i="65"/>
  <c r="F34" i="65"/>
  <c r="F12" i="65"/>
  <c r="F14" i="65"/>
  <c r="F30" i="65"/>
  <c r="F17" i="65"/>
  <c r="F16" i="65"/>
  <c r="F32" i="65"/>
  <c r="F6" i="66"/>
  <c r="G6" i="66" s="1"/>
  <c r="F22" i="66"/>
  <c r="F38" i="66"/>
  <c r="F28" i="66"/>
  <c r="F21" i="66"/>
  <c r="F37" i="66"/>
  <c r="F44" i="66"/>
  <c r="F18" i="66"/>
  <c r="F34" i="66"/>
  <c r="F33" i="66"/>
  <c r="F19" i="66"/>
  <c r="F35" i="66"/>
  <c r="F20" i="66"/>
  <c r="F16" i="66"/>
  <c r="F32" i="66"/>
  <c r="F36" i="66"/>
  <c r="F15" i="66"/>
  <c r="F31" i="66"/>
  <c r="F12" i="66"/>
  <c r="F17" i="66"/>
  <c r="F14" i="66"/>
  <c r="F30" i="66"/>
  <c r="F13" i="66"/>
  <c r="F29" i="66"/>
  <c r="F25" i="66"/>
  <c r="F10" i="66"/>
  <c r="G10" i="66" s="1"/>
  <c r="F26" i="66"/>
  <c r="F42" i="66"/>
  <c r="F5" i="66"/>
  <c r="G5" i="66" s="1"/>
  <c r="F11" i="66"/>
  <c r="F27" i="66"/>
  <c r="F43" i="66"/>
  <c r="F41" i="66"/>
  <c r="F8" i="66"/>
  <c r="G8" i="66" s="1"/>
  <c r="F24" i="66"/>
  <c r="F40" i="66"/>
  <c r="F9" i="66"/>
  <c r="G9" i="66" s="1"/>
  <c r="F7" i="66"/>
  <c r="G7" i="66" s="1"/>
  <c r="F23" i="66"/>
  <c r="F39" i="66"/>
  <c r="F19" i="62"/>
  <c r="F35" i="62"/>
  <c r="F18" i="62"/>
  <c r="F34" i="62"/>
  <c r="F6" i="62"/>
  <c r="G6" i="62" s="1"/>
  <c r="F22" i="62"/>
  <c r="F38" i="62"/>
  <c r="F15" i="62"/>
  <c r="F31" i="62"/>
  <c r="F5" i="62"/>
  <c r="G5" i="62" s="1"/>
  <c r="F14" i="62"/>
  <c r="F30" i="62"/>
  <c r="F12" i="62"/>
  <c r="F28" i="62"/>
  <c r="F44" i="62"/>
  <c r="F16" i="62"/>
  <c r="F32" i="62"/>
  <c r="F10" i="62"/>
  <c r="G10" i="62" s="1"/>
  <c r="F26" i="62"/>
  <c r="F42" i="62"/>
  <c r="F9" i="62"/>
  <c r="G9" i="62" s="1"/>
  <c r="F24" i="62"/>
  <c r="F40" i="62"/>
  <c r="F7" i="62"/>
  <c r="G7" i="62" s="1"/>
  <c r="F25" i="62"/>
  <c r="F41" i="62"/>
  <c r="F13" i="62"/>
  <c r="F29" i="62"/>
  <c r="F8" i="62"/>
  <c r="G8" i="62" s="1"/>
  <c r="F20" i="62"/>
  <c r="F36" i="62"/>
  <c r="F21" i="62"/>
  <c r="F37" i="62"/>
  <c r="F23" i="62"/>
  <c r="F39" i="62"/>
  <c r="F11" i="62"/>
  <c r="G11" i="62" s="1"/>
  <c r="F27" i="62"/>
  <c r="F43" i="62"/>
  <c r="F17" i="62"/>
  <c r="F33" i="62"/>
  <c r="G10" i="77"/>
  <c r="G10" i="76"/>
  <c r="G10" i="75"/>
  <c r="G10" i="64"/>
  <c r="G10" i="61"/>
  <c r="G10" i="60"/>
  <c r="G10" i="59"/>
  <c r="G10" i="34"/>
  <c r="G9" i="32"/>
  <c r="G10" i="31"/>
  <c r="G9" i="29"/>
  <c r="G9" i="28"/>
  <c r="L14" i="26" l="1"/>
  <c r="I15" i="26"/>
  <c r="J15" i="26" s="1"/>
  <c r="L13" i="82"/>
  <c r="I14" i="82"/>
  <c r="J14" i="82" s="1"/>
  <c r="L13" i="81"/>
  <c r="I14" i="81"/>
  <c r="J14" i="81" s="1"/>
  <c r="E17" i="80"/>
  <c r="F15" i="30"/>
  <c r="F35" i="30"/>
  <c r="F14" i="30"/>
  <c r="F28" i="30"/>
  <c r="F10" i="30"/>
  <c r="G10" i="30" s="1"/>
  <c r="F23" i="30"/>
  <c r="F37" i="30"/>
  <c r="F26" i="30"/>
  <c r="F38" i="30"/>
  <c r="F17" i="30"/>
  <c r="F32" i="30"/>
  <c r="F12" i="30"/>
  <c r="F31" i="30"/>
  <c r="F11" i="30"/>
  <c r="F24" i="30"/>
  <c r="F6" i="30"/>
  <c r="G6" i="30" s="1"/>
  <c r="F20" i="30"/>
  <c r="F33" i="30"/>
  <c r="F22" i="30"/>
  <c r="F36" i="30"/>
  <c r="F7" i="30"/>
  <c r="G7" i="30" s="1"/>
  <c r="F19" i="30"/>
  <c r="F18" i="30"/>
  <c r="F34" i="30"/>
  <c r="F13" i="30"/>
  <c r="F27" i="30"/>
  <c r="F9" i="30"/>
  <c r="G9" i="30" s="1"/>
  <c r="F29" i="30"/>
  <c r="F8" i="30"/>
  <c r="G8" i="30" s="1"/>
  <c r="F25" i="30"/>
  <c r="F21" i="30"/>
  <c r="F30" i="30"/>
  <c r="F16" i="30"/>
  <c r="F5" i="30"/>
  <c r="G5" i="30" s="1"/>
  <c r="F16" i="72"/>
  <c r="F32" i="72"/>
  <c r="F13" i="72"/>
  <c r="F29" i="72"/>
  <c r="F17" i="72"/>
  <c r="F33" i="72"/>
  <c r="F21" i="72"/>
  <c r="F36" i="72"/>
  <c r="F11" i="72"/>
  <c r="F27" i="72"/>
  <c r="F10" i="72"/>
  <c r="G10" i="72" s="1"/>
  <c r="F26" i="72"/>
  <c r="F14" i="72"/>
  <c r="F30" i="72"/>
  <c r="F18" i="72"/>
  <c r="F34" i="72"/>
  <c r="F5" i="72"/>
  <c r="G5" i="72" s="1"/>
  <c r="F25" i="72"/>
  <c r="F7" i="72"/>
  <c r="G7" i="72" s="1"/>
  <c r="F20" i="72"/>
  <c r="F37" i="72"/>
  <c r="F8" i="72"/>
  <c r="G8" i="72" s="1"/>
  <c r="F24" i="72"/>
  <c r="F12" i="72"/>
  <c r="F28" i="72"/>
  <c r="F22" i="72"/>
  <c r="F35" i="72"/>
  <c r="F15" i="72"/>
  <c r="F31" i="72"/>
  <c r="F6" i="72"/>
  <c r="G6" i="72" s="1"/>
  <c r="F19" i="72"/>
  <c r="F38" i="72"/>
  <c r="F9" i="72"/>
  <c r="G9" i="72" s="1"/>
  <c r="F23" i="72"/>
  <c r="F29" i="69"/>
  <c r="F19" i="69"/>
  <c r="F18" i="69"/>
  <c r="F7" i="69"/>
  <c r="G7" i="69" s="1"/>
  <c r="F11" i="69"/>
  <c r="G11" i="69" s="1"/>
  <c r="F27" i="69"/>
  <c r="F13" i="69"/>
  <c r="F12" i="69"/>
  <c r="F28" i="69"/>
  <c r="F15" i="69"/>
  <c r="F31" i="69"/>
  <c r="F32" i="69"/>
  <c r="F8" i="69"/>
  <c r="G8" i="69" s="1"/>
  <c r="F20" i="69"/>
  <c r="F6" i="69"/>
  <c r="G6" i="69" s="1"/>
  <c r="F25" i="69"/>
  <c r="F26" i="69"/>
  <c r="F9" i="69"/>
  <c r="G9" i="69" s="1"/>
  <c r="F24" i="69"/>
  <c r="F23" i="69"/>
  <c r="F17" i="69"/>
  <c r="F33" i="69"/>
  <c r="F5" i="69"/>
  <c r="G5" i="69" s="1"/>
  <c r="F22" i="69"/>
  <c r="F10" i="69"/>
  <c r="G10" i="69" s="1"/>
  <c r="F21" i="69"/>
  <c r="F16" i="69"/>
  <c r="F14" i="69"/>
  <c r="F30" i="69"/>
  <c r="F13" i="73"/>
  <c r="F29" i="73"/>
  <c r="F15" i="73"/>
  <c r="F31" i="73"/>
  <c r="F21" i="73"/>
  <c r="F35" i="73"/>
  <c r="F6" i="73"/>
  <c r="G6" i="73" s="1"/>
  <c r="F23" i="73"/>
  <c r="F10" i="73"/>
  <c r="G10" i="73" s="1"/>
  <c r="F26" i="73"/>
  <c r="F12" i="73"/>
  <c r="F28" i="73"/>
  <c r="F18" i="73"/>
  <c r="F33" i="73"/>
  <c r="F20" i="73"/>
  <c r="F37" i="73"/>
  <c r="F19" i="73"/>
  <c r="F9" i="73"/>
  <c r="G9" i="73" s="1"/>
  <c r="F25" i="73"/>
  <c r="F11" i="73"/>
  <c r="G11" i="73" s="1"/>
  <c r="F27" i="73"/>
  <c r="F17" i="73"/>
  <c r="F32" i="73"/>
  <c r="F5" i="73"/>
  <c r="G5" i="73" s="1"/>
  <c r="F16" i="73"/>
  <c r="F36" i="73"/>
  <c r="F7" i="73"/>
  <c r="G7" i="73" s="1"/>
  <c r="F22" i="73"/>
  <c r="F34" i="73"/>
  <c r="F8" i="73"/>
  <c r="G8" i="73" s="1"/>
  <c r="F24" i="73"/>
  <c r="F38" i="73"/>
  <c r="F14" i="73"/>
  <c r="F30" i="73"/>
  <c r="F23" i="35"/>
  <c r="F6" i="35"/>
  <c r="G6" i="35" s="1"/>
  <c r="F24" i="35"/>
  <c r="F19" i="35"/>
  <c r="F31" i="35"/>
  <c r="F14" i="35"/>
  <c r="F29" i="35"/>
  <c r="F30" i="35"/>
  <c r="F16" i="35"/>
  <c r="F20" i="35"/>
  <c r="F15" i="35"/>
  <c r="F33" i="35"/>
  <c r="F10" i="35"/>
  <c r="G10" i="35" s="1"/>
  <c r="F25" i="35"/>
  <c r="F5" i="35"/>
  <c r="G5" i="35" s="1"/>
  <c r="F26" i="35"/>
  <c r="F7" i="35"/>
  <c r="G7" i="35" s="1"/>
  <c r="F9" i="35"/>
  <c r="G9" i="35" s="1"/>
  <c r="F27" i="35"/>
  <c r="F13" i="35"/>
  <c r="F28" i="35"/>
  <c r="F8" i="35"/>
  <c r="G8" i="35" s="1"/>
  <c r="F22" i="35"/>
  <c r="F18" i="35"/>
  <c r="F32" i="35"/>
  <c r="F12" i="35"/>
  <c r="F17" i="35"/>
  <c r="F11" i="35"/>
  <c r="F21" i="35"/>
  <c r="F14" i="71"/>
  <c r="F30" i="71"/>
  <c r="F7" i="71"/>
  <c r="G7" i="71" s="1"/>
  <c r="F18" i="71"/>
  <c r="F34" i="71"/>
  <c r="F8" i="71"/>
  <c r="G8" i="71" s="1"/>
  <c r="F22" i="71"/>
  <c r="F38" i="71"/>
  <c r="F23" i="71"/>
  <c r="F5" i="71"/>
  <c r="G5" i="71" s="1"/>
  <c r="F11" i="71"/>
  <c r="G11" i="71" s="1"/>
  <c r="F27" i="71"/>
  <c r="F15" i="71"/>
  <c r="F31" i="71"/>
  <c r="F6" i="71"/>
  <c r="G6" i="71" s="1"/>
  <c r="F19" i="71"/>
  <c r="F35" i="71"/>
  <c r="F21" i="71"/>
  <c r="F37" i="71"/>
  <c r="F25" i="71"/>
  <c r="F13" i="71"/>
  <c r="F29" i="71"/>
  <c r="F17" i="71"/>
  <c r="F33" i="71"/>
  <c r="F16" i="71"/>
  <c r="F32" i="71"/>
  <c r="F20" i="71"/>
  <c r="F36" i="71"/>
  <c r="F9" i="71"/>
  <c r="G9" i="71" s="1"/>
  <c r="F24" i="71"/>
  <c r="F12" i="71"/>
  <c r="F28" i="71"/>
  <c r="F10" i="71"/>
  <c r="G10" i="71" s="1"/>
  <c r="F26" i="71"/>
  <c r="F21" i="63"/>
  <c r="F7" i="63"/>
  <c r="G7" i="63" s="1"/>
  <c r="F23" i="63"/>
  <c r="F16" i="63"/>
  <c r="F32" i="63"/>
  <c r="F6" i="63"/>
  <c r="G6" i="63" s="1"/>
  <c r="F22" i="63"/>
  <c r="F18" i="63"/>
  <c r="F20" i="63"/>
  <c r="F13" i="63"/>
  <c r="F29" i="63"/>
  <c r="F15" i="63"/>
  <c r="F31" i="63"/>
  <c r="F11" i="63"/>
  <c r="G11" i="63" s="1"/>
  <c r="F27" i="63"/>
  <c r="F17" i="63"/>
  <c r="F33" i="63"/>
  <c r="F10" i="63"/>
  <c r="G10" i="63" s="1"/>
  <c r="F26" i="63"/>
  <c r="F12" i="63"/>
  <c r="F28" i="63"/>
  <c r="F5" i="63"/>
  <c r="G5" i="63" s="1"/>
  <c r="F8" i="63"/>
  <c r="G8" i="63" s="1"/>
  <c r="F24" i="63"/>
  <c r="F14" i="63"/>
  <c r="F30" i="63"/>
  <c r="F19" i="63"/>
  <c r="F9" i="63"/>
  <c r="G9" i="63" s="1"/>
  <c r="F25" i="63"/>
  <c r="F12" i="68"/>
  <c r="F11" i="68"/>
  <c r="G11" i="68" s="1"/>
  <c r="F27" i="68"/>
  <c r="F30" i="68"/>
  <c r="F6" i="68"/>
  <c r="G6" i="68" s="1"/>
  <c r="F25" i="68"/>
  <c r="F24" i="68"/>
  <c r="F5" i="68"/>
  <c r="G5" i="68" s="1"/>
  <c r="F8" i="68"/>
  <c r="G8" i="68" s="1"/>
  <c r="F21" i="68"/>
  <c r="F17" i="68"/>
  <c r="F22" i="68"/>
  <c r="F28" i="68"/>
  <c r="F19" i="68"/>
  <c r="F33" i="68"/>
  <c r="F18" i="68"/>
  <c r="F9" i="68"/>
  <c r="G9" i="68" s="1"/>
  <c r="F20" i="68"/>
  <c r="F14" i="68"/>
  <c r="F13" i="68"/>
  <c r="F29" i="68"/>
  <c r="F23" i="68"/>
  <c r="F16" i="68"/>
  <c r="F32" i="68"/>
  <c r="F15" i="68"/>
  <c r="F31" i="68"/>
  <c r="F7" i="68"/>
  <c r="G7" i="68" s="1"/>
  <c r="F10" i="68"/>
  <c r="G10" i="68" s="1"/>
  <c r="F26" i="68"/>
  <c r="F24" i="70"/>
  <c r="F7" i="70"/>
  <c r="G7" i="70" s="1"/>
  <c r="F17" i="70"/>
  <c r="F33" i="70"/>
  <c r="F8" i="70"/>
  <c r="G8" i="70" s="1"/>
  <c r="F21" i="70"/>
  <c r="F15" i="70"/>
  <c r="F31" i="70"/>
  <c r="F19" i="70"/>
  <c r="F14" i="70"/>
  <c r="F30" i="70"/>
  <c r="F18" i="70"/>
  <c r="F6" i="70"/>
  <c r="G6" i="70" s="1"/>
  <c r="F25" i="70"/>
  <c r="F13" i="70"/>
  <c r="F29" i="70"/>
  <c r="F12" i="70"/>
  <c r="F28" i="70"/>
  <c r="F16" i="70"/>
  <c r="F32" i="70"/>
  <c r="F22" i="70"/>
  <c r="F10" i="70"/>
  <c r="G10" i="70" s="1"/>
  <c r="F26" i="70"/>
  <c r="F9" i="70"/>
  <c r="G9" i="70" s="1"/>
  <c r="F23" i="70"/>
  <c r="F11" i="70"/>
  <c r="G11" i="70" s="1"/>
  <c r="F27" i="70"/>
  <c r="F20" i="70"/>
  <c r="F5" i="70"/>
  <c r="G5" i="70" s="1"/>
  <c r="F20" i="74"/>
  <c r="F16" i="74"/>
  <c r="F32" i="74"/>
  <c r="F30" i="74"/>
  <c r="F12" i="74"/>
  <c r="F28" i="74"/>
  <c r="F15" i="74"/>
  <c r="F31" i="74"/>
  <c r="F14" i="74"/>
  <c r="F10" i="74"/>
  <c r="G10" i="74" s="1"/>
  <c r="F26" i="74"/>
  <c r="F8" i="74"/>
  <c r="G8" i="74" s="1"/>
  <c r="F22" i="74"/>
  <c r="F38" i="74"/>
  <c r="F13" i="74"/>
  <c r="F29" i="74"/>
  <c r="F11" i="74"/>
  <c r="G11" i="74" s="1"/>
  <c r="F27" i="74"/>
  <c r="F7" i="74"/>
  <c r="G7" i="74" s="1"/>
  <c r="F23" i="74"/>
  <c r="F6" i="74"/>
  <c r="G6" i="74" s="1"/>
  <c r="F19" i="74"/>
  <c r="F35" i="74"/>
  <c r="F9" i="74"/>
  <c r="G9" i="74" s="1"/>
  <c r="F24" i="74"/>
  <c r="F25" i="74"/>
  <c r="F21" i="74"/>
  <c r="F37" i="74"/>
  <c r="F36" i="74"/>
  <c r="F17" i="74"/>
  <c r="F33" i="74"/>
  <c r="F18" i="74"/>
  <c r="F34" i="74"/>
  <c r="F5" i="74"/>
  <c r="G5" i="74" s="1"/>
  <c r="G11" i="77"/>
  <c r="G11" i="76"/>
  <c r="G11" i="75"/>
  <c r="G11" i="72"/>
  <c r="G11" i="67"/>
  <c r="G11" i="66"/>
  <c r="G12" i="65"/>
  <c r="G11" i="64"/>
  <c r="G12" i="62"/>
  <c r="G11" i="61"/>
  <c r="G11" i="60"/>
  <c r="G11" i="59"/>
  <c r="G11" i="34"/>
  <c r="G11" i="33"/>
  <c r="G10" i="32"/>
  <c r="G11" i="31"/>
  <c r="G10" i="29"/>
  <c r="G10" i="28"/>
  <c r="L15" i="26" l="1"/>
  <c r="I16" i="26"/>
  <c r="J16" i="26" s="1"/>
  <c r="I15" i="82"/>
  <c r="J15" i="82" s="1"/>
  <c r="L14" i="82"/>
  <c r="L14" i="81"/>
  <c r="I15" i="81"/>
  <c r="J15" i="81" s="1"/>
  <c r="E18" i="80"/>
  <c r="G12" i="77"/>
  <c r="G12" i="76"/>
  <c r="G12" i="75"/>
  <c r="G12" i="74"/>
  <c r="G12" i="73"/>
  <c r="G12" i="72"/>
  <c r="G12" i="71"/>
  <c r="G12" i="70"/>
  <c r="G12" i="69"/>
  <c r="G12" i="68"/>
  <c r="G12" i="67"/>
  <c r="G12" i="66"/>
  <c r="G13" i="65"/>
  <c r="G12" i="64"/>
  <c r="G12" i="63"/>
  <c r="G13" i="62"/>
  <c r="G12" i="61"/>
  <c r="G12" i="60"/>
  <c r="G12" i="59"/>
  <c r="G11" i="35"/>
  <c r="G12" i="34"/>
  <c r="G12" i="33"/>
  <c r="G11" i="32"/>
  <c r="G12" i="31"/>
  <c r="G11" i="30"/>
  <c r="G11" i="29"/>
  <c r="G11" i="28"/>
  <c r="L16" i="26" l="1"/>
  <c r="I17" i="26"/>
  <c r="J17" i="26" s="1"/>
  <c r="L15" i="82"/>
  <c r="I16" i="82"/>
  <c r="J16" i="82" s="1"/>
  <c r="L15" i="81"/>
  <c r="I16" i="81"/>
  <c r="J16" i="81" s="1"/>
  <c r="E19" i="80"/>
  <c r="G13" i="77"/>
  <c r="G13" i="76"/>
  <c r="G13" i="75"/>
  <c r="G13" i="74"/>
  <c r="G13" i="73"/>
  <c r="G13" i="72"/>
  <c r="G13" i="71"/>
  <c r="G13" i="70"/>
  <c r="G13" i="69"/>
  <c r="G13" i="68"/>
  <c r="G13" i="67"/>
  <c r="G13" i="66"/>
  <c r="G14" i="65"/>
  <c r="G13" i="64"/>
  <c r="G13" i="63"/>
  <c r="G14" i="62"/>
  <c r="G13" i="61"/>
  <c r="G13" i="60"/>
  <c r="G13" i="59"/>
  <c r="G12" i="35"/>
  <c r="G13" i="34"/>
  <c r="G13" i="33"/>
  <c r="G12" i="32"/>
  <c r="G13" i="31"/>
  <c r="G12" i="30"/>
  <c r="G12" i="29"/>
  <c r="G12" i="28"/>
  <c r="L17" i="26" l="1"/>
  <c r="I18" i="26"/>
  <c r="J18" i="26" s="1"/>
  <c r="L16" i="82"/>
  <c r="I17" i="82"/>
  <c r="J17" i="82" s="1"/>
  <c r="L16" i="81"/>
  <c r="I17" i="81"/>
  <c r="J17" i="81" s="1"/>
  <c r="E20" i="80"/>
  <c r="G14" i="77"/>
  <c r="G14" i="76"/>
  <c r="G14" i="75"/>
  <c r="G14" i="74"/>
  <c r="G14" i="73"/>
  <c r="G14" i="72"/>
  <c r="G14" i="71"/>
  <c r="G14" i="70"/>
  <c r="G14" i="69"/>
  <c r="G14" i="68"/>
  <c r="G14" i="67"/>
  <c r="G14" i="66"/>
  <c r="G15" i="65"/>
  <c r="G14" i="64"/>
  <c r="G14" i="63"/>
  <c r="G15" i="62"/>
  <c r="G14" i="61"/>
  <c r="G14" i="60"/>
  <c r="G14" i="59"/>
  <c r="G13" i="35"/>
  <c r="G14" i="34"/>
  <c r="G14" i="33"/>
  <c r="G13" i="32"/>
  <c r="G14" i="31"/>
  <c r="G13" i="30"/>
  <c r="G13" i="29"/>
  <c r="G13" i="28"/>
  <c r="L18" i="26" l="1"/>
  <c r="I19" i="26"/>
  <c r="J19" i="26" s="1"/>
  <c r="L17" i="82"/>
  <c r="I18" i="82"/>
  <c r="J18" i="82" s="1"/>
  <c r="L17" i="81"/>
  <c r="I18" i="81"/>
  <c r="J18" i="81" s="1"/>
  <c r="E21" i="80"/>
  <c r="G15" i="77"/>
  <c r="G15" i="76"/>
  <c r="G15" i="75"/>
  <c r="G15" i="74"/>
  <c r="G15" i="73"/>
  <c r="G15" i="72"/>
  <c r="G15" i="71"/>
  <c r="G15" i="70"/>
  <c r="G15" i="69"/>
  <c r="G15" i="68"/>
  <c r="G15" i="67"/>
  <c r="G15" i="66"/>
  <c r="G16" i="65"/>
  <c r="G15" i="64"/>
  <c r="G15" i="63"/>
  <c r="G16" i="62"/>
  <c r="G15" i="61"/>
  <c r="G15" i="60"/>
  <c r="G15" i="59"/>
  <c r="G14" i="35"/>
  <c r="G15" i="34"/>
  <c r="G15" i="33"/>
  <c r="G14" i="32"/>
  <c r="G15" i="31"/>
  <c r="G14" i="30"/>
  <c r="G14" i="29"/>
  <c r="G14" i="28"/>
  <c r="L19" i="26" l="1"/>
  <c r="I20" i="26"/>
  <c r="J20" i="26" s="1"/>
  <c r="L18" i="82"/>
  <c r="I19" i="82"/>
  <c r="J19" i="82" s="1"/>
  <c r="L18" i="81"/>
  <c r="I19" i="81"/>
  <c r="J19" i="81" s="1"/>
  <c r="E22" i="80"/>
  <c r="G16" i="77"/>
  <c r="G16" i="76"/>
  <c r="G16" i="75"/>
  <c r="G16" i="74"/>
  <c r="G16" i="73"/>
  <c r="G16" i="72"/>
  <c r="G16" i="71"/>
  <c r="G16" i="70"/>
  <c r="G16" i="69"/>
  <c r="G16" i="68"/>
  <c r="G16" i="67"/>
  <c r="G16" i="66"/>
  <c r="G17" i="65"/>
  <c r="G16" i="64"/>
  <c r="G16" i="63"/>
  <c r="G17" i="62"/>
  <c r="G16" i="61"/>
  <c r="G16" i="60"/>
  <c r="G16" i="59"/>
  <c r="G15" i="35"/>
  <c r="G16" i="34"/>
  <c r="G16" i="33"/>
  <c r="G15" i="32"/>
  <c r="G16" i="31"/>
  <c r="G15" i="30"/>
  <c r="G15" i="29"/>
  <c r="G15" i="28"/>
  <c r="L20" i="26" l="1"/>
  <c r="I21" i="26"/>
  <c r="J21" i="26" s="1"/>
  <c r="L19" i="82"/>
  <c r="I20" i="82"/>
  <c r="J20" i="82" s="1"/>
  <c r="L19" i="81"/>
  <c r="I20" i="81"/>
  <c r="J20" i="81" s="1"/>
  <c r="E23" i="80"/>
  <c r="G17" i="77"/>
  <c r="G17" i="76"/>
  <c r="G17" i="75"/>
  <c r="G17" i="74"/>
  <c r="G17" i="73"/>
  <c r="G17" i="72"/>
  <c r="G17" i="71"/>
  <c r="G17" i="70"/>
  <c r="G17" i="69"/>
  <c r="G17" i="68"/>
  <c r="G17" i="67"/>
  <c r="G17" i="66"/>
  <c r="G18" i="65"/>
  <c r="G17" i="64"/>
  <c r="G17" i="63"/>
  <c r="G18" i="62"/>
  <c r="G17" i="61"/>
  <c r="G17" i="60"/>
  <c r="G17" i="59"/>
  <c r="G16" i="35"/>
  <c r="G17" i="34"/>
  <c r="G17" i="33"/>
  <c r="G16" i="32"/>
  <c r="G17" i="31"/>
  <c r="G16" i="30"/>
  <c r="G16" i="29"/>
  <c r="G16" i="28"/>
  <c r="L21" i="26" l="1"/>
  <c r="I22" i="26"/>
  <c r="J22" i="26" s="1"/>
  <c r="L20" i="82"/>
  <c r="I21" i="82"/>
  <c r="J21" i="82" s="1"/>
  <c r="L20" i="81"/>
  <c r="I21" i="81"/>
  <c r="J21" i="81" s="1"/>
  <c r="E24" i="80"/>
  <c r="G18" i="77"/>
  <c r="G18" i="76"/>
  <c r="G18" i="75"/>
  <c r="G18" i="74"/>
  <c r="G18" i="73"/>
  <c r="G18" i="72"/>
  <c r="G18" i="71"/>
  <c r="G18" i="70"/>
  <c r="G18" i="69"/>
  <c r="G18" i="68"/>
  <c r="G18" i="67"/>
  <c r="G18" i="66"/>
  <c r="G19" i="65"/>
  <c r="G18" i="64"/>
  <c r="G18" i="63"/>
  <c r="G19" i="62"/>
  <c r="G18" i="61"/>
  <c r="G18" i="60"/>
  <c r="G18" i="59"/>
  <c r="G17" i="35"/>
  <c r="G18" i="34"/>
  <c r="G18" i="33"/>
  <c r="G17" i="32"/>
  <c r="G18" i="31"/>
  <c r="G17" i="30"/>
  <c r="G17" i="29"/>
  <c r="G17" i="28"/>
  <c r="L22" i="26" l="1"/>
  <c r="I23" i="26"/>
  <c r="J23" i="26" s="1"/>
  <c r="L21" i="82"/>
  <c r="I22" i="82"/>
  <c r="J22" i="82" s="1"/>
  <c r="L21" i="81"/>
  <c r="I22" i="81"/>
  <c r="J22" i="81" s="1"/>
  <c r="E25" i="80"/>
  <c r="G19" i="77"/>
  <c r="G19" i="76"/>
  <c r="G19" i="75"/>
  <c r="G19" i="74"/>
  <c r="G19" i="73"/>
  <c r="G19" i="72"/>
  <c r="G19" i="71"/>
  <c r="G19" i="70"/>
  <c r="G19" i="69"/>
  <c r="G19" i="68"/>
  <c r="G19" i="67"/>
  <c r="G19" i="66"/>
  <c r="G20" i="65"/>
  <c r="G19" i="64"/>
  <c r="G19" i="63"/>
  <c r="G20" i="62"/>
  <c r="G19" i="61"/>
  <c r="G19" i="60"/>
  <c r="G19" i="59"/>
  <c r="G18" i="35"/>
  <c r="G19" i="34"/>
  <c r="G19" i="33"/>
  <c r="G18" i="32"/>
  <c r="G19" i="31"/>
  <c r="G18" i="30"/>
  <c r="G18" i="29"/>
  <c r="G18" i="28"/>
  <c r="L23" i="26" l="1"/>
  <c r="I24" i="26"/>
  <c r="J24" i="26" s="1"/>
  <c r="L22" i="82"/>
  <c r="I23" i="82"/>
  <c r="J23" i="82" s="1"/>
  <c r="L22" i="81"/>
  <c r="I23" i="81"/>
  <c r="J23" i="81" s="1"/>
  <c r="E26" i="80"/>
  <c r="G20" i="77"/>
  <c r="G20" i="76"/>
  <c r="G20" i="75"/>
  <c r="G20" i="74"/>
  <c r="G20" i="73"/>
  <c r="G20" i="72"/>
  <c r="G20" i="71"/>
  <c r="G20" i="70"/>
  <c r="G20" i="69"/>
  <c r="G20" i="68"/>
  <c r="G20" i="67"/>
  <c r="G20" i="66"/>
  <c r="G21" i="65"/>
  <c r="G20" i="64"/>
  <c r="G20" i="63"/>
  <c r="G21" i="62"/>
  <c r="G20" i="61"/>
  <c r="G20" i="60"/>
  <c r="G20" i="59"/>
  <c r="G19" i="35"/>
  <c r="G20" i="34"/>
  <c r="G20" i="33"/>
  <c r="G19" i="32"/>
  <c r="G20" i="31"/>
  <c r="G19" i="30"/>
  <c r="G19" i="29"/>
  <c r="G19" i="28"/>
  <c r="L24" i="26" l="1"/>
  <c r="I25" i="26"/>
  <c r="J25" i="26" s="1"/>
  <c r="L23" i="82"/>
  <c r="I24" i="82"/>
  <c r="J24" i="82" s="1"/>
  <c r="L23" i="81"/>
  <c r="I24" i="81"/>
  <c r="J24" i="81" s="1"/>
  <c r="E27" i="80"/>
  <c r="G21" i="77"/>
  <c r="G21" i="76"/>
  <c r="G21" i="75"/>
  <c r="G21" i="74"/>
  <c r="G21" i="73"/>
  <c r="G21" i="72"/>
  <c r="G21" i="71"/>
  <c r="G21" i="70"/>
  <c r="G21" i="69"/>
  <c r="G21" i="68"/>
  <c r="G21" i="67"/>
  <c r="G21" i="66"/>
  <c r="G22" i="65"/>
  <c r="G21" i="64"/>
  <c r="G21" i="63"/>
  <c r="G22" i="62"/>
  <c r="G21" i="61"/>
  <c r="G21" i="60"/>
  <c r="G21" i="59"/>
  <c r="G20" i="35"/>
  <c r="G21" i="34"/>
  <c r="G21" i="33"/>
  <c r="G20" i="32"/>
  <c r="G21" i="31"/>
  <c r="G20" i="30"/>
  <c r="G20" i="29"/>
  <c r="G20" i="28"/>
  <c r="L25" i="26" l="1"/>
  <c r="I26" i="26"/>
  <c r="J26" i="26" s="1"/>
  <c r="L24" i="82"/>
  <c r="I25" i="82"/>
  <c r="J25" i="82" s="1"/>
  <c r="L24" i="81"/>
  <c r="I25" i="81"/>
  <c r="J25" i="81" s="1"/>
  <c r="E28" i="80"/>
  <c r="G22" i="77"/>
  <c r="G22" i="76"/>
  <c r="G22" i="75"/>
  <c r="G22" i="74"/>
  <c r="G22" i="73"/>
  <c r="G22" i="72"/>
  <c r="G22" i="71"/>
  <c r="G22" i="70"/>
  <c r="G22" i="69"/>
  <c r="G22" i="68"/>
  <c r="G22" i="67"/>
  <c r="G22" i="66"/>
  <c r="G23" i="65"/>
  <c r="G22" i="64"/>
  <c r="G22" i="63"/>
  <c r="G23" i="62"/>
  <c r="G22" i="61"/>
  <c r="G22" i="60"/>
  <c r="G22" i="59"/>
  <c r="G21" i="35"/>
  <c r="G22" i="34"/>
  <c r="G22" i="33"/>
  <c r="G21" i="32"/>
  <c r="G22" i="31"/>
  <c r="G21" i="30"/>
  <c r="G21" i="29"/>
  <c r="G21" i="28"/>
  <c r="I27" i="26" l="1"/>
  <c r="J27" i="26" s="1"/>
  <c r="L26" i="26"/>
  <c r="L25" i="82"/>
  <c r="I26" i="82"/>
  <c r="J26" i="82" s="1"/>
  <c r="L25" i="81"/>
  <c r="I26" i="81"/>
  <c r="J26" i="81" s="1"/>
  <c r="E29" i="80"/>
  <c r="G23" i="77"/>
  <c r="G23" i="76"/>
  <c r="G23" i="75"/>
  <c r="G23" i="74"/>
  <c r="G23" i="73"/>
  <c r="G23" i="72"/>
  <c r="G23" i="71"/>
  <c r="G23" i="70"/>
  <c r="G23" i="69"/>
  <c r="G23" i="68"/>
  <c r="G23" i="67"/>
  <c r="G23" i="66"/>
  <c r="G24" i="65"/>
  <c r="G23" i="64"/>
  <c r="G23" i="63"/>
  <c r="G24" i="62"/>
  <c r="G23" i="61"/>
  <c r="G23" i="60"/>
  <c r="G23" i="59"/>
  <c r="G22" i="35"/>
  <c r="G23" i="34"/>
  <c r="G23" i="33"/>
  <c r="G22" i="32"/>
  <c r="G23" i="31"/>
  <c r="G22" i="30"/>
  <c r="G22" i="29"/>
  <c r="G22" i="28"/>
  <c r="L27" i="26" l="1"/>
  <c r="I28" i="26"/>
  <c r="J28" i="26" s="1"/>
  <c r="L26" i="82"/>
  <c r="I27" i="82"/>
  <c r="J27" i="82" s="1"/>
  <c r="L26" i="81"/>
  <c r="I27" i="81"/>
  <c r="J27" i="81" s="1"/>
  <c r="E30" i="80"/>
  <c r="G24" i="77"/>
  <c r="G24" i="76"/>
  <c r="G24" i="75"/>
  <c r="G24" i="74"/>
  <c r="G24" i="73"/>
  <c r="G24" i="72"/>
  <c r="G24" i="71"/>
  <c r="G24" i="70"/>
  <c r="G24" i="69"/>
  <c r="G24" i="68"/>
  <c r="G24" i="67"/>
  <c r="G24" i="66"/>
  <c r="G25" i="65"/>
  <c r="G24" i="64"/>
  <c r="G24" i="63"/>
  <c r="G25" i="62"/>
  <c r="G24" i="61"/>
  <c r="G24" i="60"/>
  <c r="G24" i="59"/>
  <c r="G23" i="35"/>
  <c r="G24" i="34"/>
  <c r="G24" i="33"/>
  <c r="G23" i="32"/>
  <c r="G24" i="31"/>
  <c r="G23" i="30"/>
  <c r="G23" i="29"/>
  <c r="G23" i="28"/>
  <c r="I29" i="26" l="1"/>
  <c r="J29" i="26" s="1"/>
  <c r="L28" i="26"/>
  <c r="L27" i="82"/>
  <c r="I28" i="82"/>
  <c r="J28" i="82" s="1"/>
  <c r="L27" i="81"/>
  <c r="I28" i="81"/>
  <c r="J28" i="81" s="1"/>
  <c r="E31" i="80"/>
  <c r="G30" i="80"/>
  <c r="G25" i="77"/>
  <c r="G25" i="76"/>
  <c r="G25" i="75"/>
  <c r="G25" i="74"/>
  <c r="G25" i="73"/>
  <c r="G25" i="72"/>
  <c r="G25" i="71"/>
  <c r="G25" i="70"/>
  <c r="G25" i="69"/>
  <c r="G25" i="68"/>
  <c r="G25" i="67"/>
  <c r="G25" i="66"/>
  <c r="G26" i="65"/>
  <c r="G25" i="64"/>
  <c r="G25" i="63"/>
  <c r="G26" i="62"/>
  <c r="G25" i="61"/>
  <c r="G25" i="60"/>
  <c r="G25" i="59"/>
  <c r="G24" i="35"/>
  <c r="G25" i="34"/>
  <c r="G25" i="33"/>
  <c r="G24" i="32"/>
  <c r="G25" i="31"/>
  <c r="G24" i="30"/>
  <c r="G24" i="29"/>
  <c r="G24" i="28"/>
  <c r="L29" i="26" l="1"/>
  <c r="I30" i="26"/>
  <c r="J30" i="26" s="1"/>
  <c r="L28" i="82"/>
  <c r="I29" i="82"/>
  <c r="J29" i="82" s="1"/>
  <c r="L28" i="81"/>
  <c r="I29" i="81"/>
  <c r="J29" i="81" s="1"/>
  <c r="E32" i="80"/>
  <c r="G26" i="77"/>
  <c r="G26" i="76"/>
  <c r="G26" i="75"/>
  <c r="G26" i="74"/>
  <c r="G26" i="73"/>
  <c r="G26" i="72"/>
  <c r="G26" i="71"/>
  <c r="G26" i="70"/>
  <c r="G26" i="69"/>
  <c r="G26" i="68"/>
  <c r="G26" i="67"/>
  <c r="G26" i="66"/>
  <c r="G27" i="65"/>
  <c r="G26" i="64"/>
  <c r="G26" i="63"/>
  <c r="G27" i="62"/>
  <c r="G26" i="61"/>
  <c r="G26" i="60"/>
  <c r="G26" i="59"/>
  <c r="G25" i="35"/>
  <c r="G26" i="34"/>
  <c r="G26" i="33"/>
  <c r="G25" i="32"/>
  <c r="G26" i="31"/>
  <c r="G25" i="30"/>
  <c r="G25" i="29"/>
  <c r="G25" i="28"/>
  <c r="L30" i="26" l="1"/>
  <c r="I31" i="26"/>
  <c r="J31" i="26" s="1"/>
  <c r="L29" i="82"/>
  <c r="I30" i="82"/>
  <c r="J30" i="82" s="1"/>
  <c r="L29" i="81"/>
  <c r="I30" i="81"/>
  <c r="J30" i="81" s="1"/>
  <c r="E33" i="80"/>
  <c r="G27" i="77"/>
  <c r="G27" i="76"/>
  <c r="G27" i="75"/>
  <c r="G27" i="74"/>
  <c r="G27" i="73"/>
  <c r="G27" i="72"/>
  <c r="G27" i="71"/>
  <c r="G27" i="70"/>
  <c r="G27" i="69"/>
  <c r="G27" i="68"/>
  <c r="G27" i="67"/>
  <c r="G27" i="66"/>
  <c r="G28" i="65"/>
  <c r="G27" i="64"/>
  <c r="G27" i="63"/>
  <c r="G28" i="62"/>
  <c r="G27" i="61"/>
  <c r="G27" i="60"/>
  <c r="G27" i="59"/>
  <c r="G26" i="35"/>
  <c r="G27" i="34"/>
  <c r="G27" i="33"/>
  <c r="G26" i="32"/>
  <c r="G27" i="31"/>
  <c r="G26" i="30"/>
  <c r="G26" i="29"/>
  <c r="G26" i="28"/>
  <c r="I32" i="26" l="1"/>
  <c r="J32" i="26" s="1"/>
  <c r="L31" i="26"/>
  <c r="L30" i="82"/>
  <c r="I31" i="82"/>
  <c r="J31" i="82" s="1"/>
  <c r="L30" i="81"/>
  <c r="I31" i="81"/>
  <c r="J31" i="81" s="1"/>
  <c r="E34" i="80"/>
  <c r="G28" i="77"/>
  <c r="G28" i="76"/>
  <c r="G28" i="75"/>
  <c r="G28" i="74"/>
  <c r="G28" i="73"/>
  <c r="G28" i="72"/>
  <c r="G28" i="71"/>
  <c r="G28" i="70"/>
  <c r="G28" i="69"/>
  <c r="G28" i="68"/>
  <c r="G28" i="67"/>
  <c r="G28" i="66"/>
  <c r="G29" i="65"/>
  <c r="G28" i="64"/>
  <c r="G28" i="63"/>
  <c r="G29" i="62"/>
  <c r="G28" i="61"/>
  <c r="G28" i="60"/>
  <c r="G28" i="59"/>
  <c r="G27" i="35"/>
  <c r="G28" i="34"/>
  <c r="G28" i="33"/>
  <c r="G27" i="32"/>
  <c r="G28" i="31"/>
  <c r="G27" i="30"/>
  <c r="G27" i="29"/>
  <c r="G27" i="28"/>
  <c r="L32" i="26" l="1"/>
  <c r="I33" i="26"/>
  <c r="J33" i="26" s="1"/>
  <c r="L31" i="82"/>
  <c r="I32" i="82"/>
  <c r="J32" i="82" s="1"/>
  <c r="I32" i="81"/>
  <c r="J32" i="81" s="1"/>
  <c r="L31" i="81"/>
  <c r="E35" i="80"/>
  <c r="G29" i="77"/>
  <c r="G29" i="76"/>
  <c r="G29" i="75"/>
  <c r="G29" i="74"/>
  <c r="G29" i="73"/>
  <c r="G29" i="72"/>
  <c r="G29" i="71"/>
  <c r="G29" i="70"/>
  <c r="G29" i="69"/>
  <c r="G29" i="68"/>
  <c r="G29" i="67"/>
  <c r="G29" i="66"/>
  <c r="G30" i="65"/>
  <c r="G29" i="64"/>
  <c r="G29" i="63"/>
  <c r="G30" i="62"/>
  <c r="G29" i="61"/>
  <c r="G29" i="60"/>
  <c r="G29" i="59"/>
  <c r="G28" i="35"/>
  <c r="G29" i="34"/>
  <c r="G29" i="33"/>
  <c r="G28" i="32"/>
  <c r="G29" i="31"/>
  <c r="G28" i="30"/>
  <c r="G28" i="29"/>
  <c r="G28" i="28"/>
  <c r="I34" i="26" l="1"/>
  <c r="J34" i="26" s="1"/>
  <c r="L33" i="26"/>
  <c r="L32" i="82"/>
  <c r="I33" i="82"/>
  <c r="J33" i="82" s="1"/>
  <c r="L32" i="81"/>
  <c r="I33" i="81"/>
  <c r="J33" i="81" s="1"/>
  <c r="E36" i="80"/>
  <c r="G30" i="77"/>
  <c r="G30" i="76"/>
  <c r="G30" i="75"/>
  <c r="G30" i="74"/>
  <c r="G30" i="73"/>
  <c r="G30" i="72"/>
  <c r="G30" i="71"/>
  <c r="G30" i="70"/>
  <c r="G30" i="69"/>
  <c r="G30" i="68"/>
  <c r="G30" i="67"/>
  <c r="G30" i="66"/>
  <c r="G31" i="65"/>
  <c r="G30" i="64"/>
  <c r="G30" i="63"/>
  <c r="G31" i="62"/>
  <c r="G30" i="61"/>
  <c r="G30" i="60"/>
  <c r="G30" i="59"/>
  <c r="G29" i="35"/>
  <c r="G30" i="34"/>
  <c r="G30" i="33"/>
  <c r="G29" i="32"/>
  <c r="G30" i="31"/>
  <c r="G29" i="30"/>
  <c r="G29" i="29"/>
  <c r="G29" i="28"/>
  <c r="L34" i="26" l="1"/>
  <c r="L33" i="82"/>
  <c r="I34" i="82"/>
  <c r="J34" i="82" s="1"/>
  <c r="L33" i="81"/>
  <c r="I34" i="81"/>
  <c r="J34" i="81" s="1"/>
  <c r="E37" i="80"/>
  <c r="G31" i="77"/>
  <c r="G31" i="76"/>
  <c r="G31" i="75"/>
  <c r="G31" i="74"/>
  <c r="G31" i="73"/>
  <c r="G31" i="72"/>
  <c r="G31" i="71"/>
  <c r="G31" i="70"/>
  <c r="G31" i="69"/>
  <c r="G31" i="68"/>
  <c r="G31" i="67"/>
  <c r="G31" i="66"/>
  <c r="G32" i="65"/>
  <c r="G31" i="64"/>
  <c r="G31" i="63"/>
  <c r="G32" i="62"/>
  <c r="G31" i="61"/>
  <c r="G31" i="60"/>
  <c r="G31" i="59"/>
  <c r="G30" i="35"/>
  <c r="G31" i="34"/>
  <c r="G31" i="33"/>
  <c r="G30" i="32"/>
  <c r="G31" i="31"/>
  <c r="G30" i="30"/>
  <c r="G30" i="29"/>
  <c r="G30" i="28"/>
  <c r="O10" i="26" l="1"/>
  <c r="O8" i="26"/>
  <c r="O34" i="26"/>
  <c r="O33" i="26"/>
  <c r="O32" i="26"/>
  <c r="O31" i="26"/>
  <c r="O30" i="26"/>
  <c r="O29" i="26"/>
  <c r="O28" i="26"/>
  <c r="O27" i="26"/>
  <c r="O26" i="26"/>
  <c r="O25" i="26"/>
  <c r="O24" i="26"/>
  <c r="O23" i="26"/>
  <c r="O22" i="26"/>
  <c r="O18" i="26"/>
  <c r="O14" i="26"/>
  <c r="O9" i="26"/>
  <c r="P9" i="26" s="1"/>
  <c r="O20" i="26"/>
  <c r="O16" i="26"/>
  <c r="O12" i="26"/>
  <c r="O4" i="26"/>
  <c r="O6" i="26"/>
  <c r="O13" i="26"/>
  <c r="O5" i="26"/>
  <c r="O21" i="26"/>
  <c r="O19" i="26"/>
  <c r="O17" i="26"/>
  <c r="P17" i="26" s="1"/>
  <c r="O15" i="26"/>
  <c r="P15" i="26" s="1"/>
  <c r="O11" i="26"/>
  <c r="O7" i="26"/>
  <c r="P7" i="26" s="1"/>
  <c r="N5" i="26"/>
  <c r="N6" i="26"/>
  <c r="N7" i="26"/>
  <c r="N8" i="26"/>
  <c r="N9" i="26"/>
  <c r="N10" i="26"/>
  <c r="N11" i="26"/>
  <c r="N12" i="26"/>
  <c r="N13" i="26"/>
  <c r="N14" i="26"/>
  <c r="N15" i="26"/>
  <c r="N16" i="26"/>
  <c r="N17" i="26"/>
  <c r="N18" i="26"/>
  <c r="N19" i="26"/>
  <c r="N20" i="26"/>
  <c r="N21" i="26"/>
  <c r="N22" i="26"/>
  <c r="N23" i="26"/>
  <c r="N24" i="26"/>
  <c r="N25" i="26"/>
  <c r="N26" i="26"/>
  <c r="N27" i="26"/>
  <c r="N28" i="26"/>
  <c r="N29" i="26"/>
  <c r="N30" i="26"/>
  <c r="N31" i="26"/>
  <c r="N32" i="26"/>
  <c r="N33" i="26"/>
  <c r="N34" i="26"/>
  <c r="L34" i="82"/>
  <c r="I35" i="82"/>
  <c r="J35" i="82" s="1"/>
  <c r="L34" i="81"/>
  <c r="I35" i="81"/>
  <c r="J35" i="81" s="1"/>
  <c r="E38" i="80"/>
  <c r="G32" i="77"/>
  <c r="G32" i="76"/>
  <c r="G32" i="75"/>
  <c r="G32" i="74"/>
  <c r="G32" i="73"/>
  <c r="G32" i="72"/>
  <c r="G32" i="71"/>
  <c r="G32" i="70"/>
  <c r="G32" i="69"/>
  <c r="G32" i="68"/>
  <c r="G32" i="67"/>
  <c r="G32" i="66"/>
  <c r="G33" i="65"/>
  <c r="G32" i="64"/>
  <c r="G32" i="63"/>
  <c r="G33" i="62"/>
  <c r="G32" i="61"/>
  <c r="G32" i="60"/>
  <c r="G32" i="59"/>
  <c r="G31" i="35"/>
  <c r="G32" i="34"/>
  <c r="G32" i="33"/>
  <c r="G31" i="32"/>
  <c r="G32" i="31"/>
  <c r="G31" i="30"/>
  <c r="G31" i="29"/>
  <c r="G31" i="28"/>
  <c r="P11" i="26" l="1"/>
  <c r="P5" i="26"/>
  <c r="P24" i="26"/>
  <c r="P28" i="26"/>
  <c r="P32" i="26"/>
  <c r="S6" i="26"/>
  <c r="P13" i="26"/>
  <c r="P16" i="26"/>
  <c r="P25" i="26"/>
  <c r="P29" i="26"/>
  <c r="P33" i="26"/>
  <c r="S9" i="26"/>
  <c r="S8" i="26"/>
  <c r="S7" i="26"/>
  <c r="P6" i="26"/>
  <c r="P22" i="26"/>
  <c r="R3" i="26"/>
  <c r="G40" i="84" s="1"/>
  <c r="P18" i="26"/>
  <c r="P34" i="26"/>
  <c r="P21" i="26"/>
  <c r="P23" i="26"/>
  <c r="P27" i="26"/>
  <c r="P31" i="26"/>
  <c r="P8" i="26"/>
  <c r="P19" i="26"/>
  <c r="P20" i="26"/>
  <c r="P26" i="26"/>
  <c r="P30" i="26"/>
  <c r="P12" i="26"/>
  <c r="P14" i="26"/>
  <c r="P10" i="26"/>
  <c r="L35" i="82"/>
  <c r="I36" i="82"/>
  <c r="J36" i="82" s="1"/>
  <c r="L35" i="81"/>
  <c r="I36" i="81"/>
  <c r="J36" i="81" s="1"/>
  <c r="E39" i="80"/>
  <c r="G33" i="77"/>
  <c r="G33" i="76"/>
  <c r="G33" i="75"/>
  <c r="G33" i="74"/>
  <c r="G33" i="73"/>
  <c r="G33" i="72"/>
  <c r="G33" i="71"/>
  <c r="G33" i="70"/>
  <c r="G33" i="69"/>
  <c r="G33" i="68"/>
  <c r="G33" i="67"/>
  <c r="G33" i="66"/>
  <c r="G34" i="65"/>
  <c r="G33" i="64"/>
  <c r="G33" i="63"/>
  <c r="G34" i="62"/>
  <c r="G33" i="61"/>
  <c r="G33" i="60"/>
  <c r="G33" i="59"/>
  <c r="G32" i="35"/>
  <c r="G33" i="34"/>
  <c r="G33" i="33"/>
  <c r="G32" i="32"/>
  <c r="G33" i="31"/>
  <c r="G32" i="30"/>
  <c r="G32" i="29"/>
  <c r="G32" i="28"/>
  <c r="T8" i="26" l="1"/>
  <c r="T9" i="26"/>
  <c r="T7" i="26"/>
  <c r="T6" i="26"/>
  <c r="L36" i="82"/>
  <c r="I37" i="82"/>
  <c r="J37" i="82" s="1"/>
  <c r="L36" i="81"/>
  <c r="I37" i="81"/>
  <c r="J37" i="81" s="1"/>
  <c r="E40" i="80"/>
  <c r="G34" i="77"/>
  <c r="G34" i="76"/>
  <c r="G34" i="75"/>
  <c r="G34" i="74"/>
  <c r="G34" i="73"/>
  <c r="G34" i="72"/>
  <c r="G34" i="71"/>
  <c r="G34" i="70"/>
  <c r="I34" i="70" s="1"/>
  <c r="G34" i="69"/>
  <c r="I34" i="69" s="1"/>
  <c r="G34" i="68"/>
  <c r="I34" i="68" s="1"/>
  <c r="G34" i="67"/>
  <c r="G34" i="66"/>
  <c r="G35" i="65"/>
  <c r="G34" i="64"/>
  <c r="G34" i="63"/>
  <c r="G35" i="62"/>
  <c r="G34" i="61"/>
  <c r="G34" i="60"/>
  <c r="G34" i="59"/>
  <c r="G33" i="35"/>
  <c r="G34" i="34"/>
  <c r="G34" i="33"/>
  <c r="G33" i="32"/>
  <c r="G34" i="31"/>
  <c r="G33" i="30"/>
  <c r="G33" i="29"/>
  <c r="G33" i="28"/>
  <c r="T10" i="26" l="1"/>
  <c r="Q10" i="26"/>
  <c r="L37" i="82"/>
  <c r="I38" i="82"/>
  <c r="J38" i="82" s="1"/>
  <c r="L37" i="81"/>
  <c r="I38" i="81"/>
  <c r="J38" i="81" s="1"/>
  <c r="E41" i="80"/>
  <c r="G35" i="77"/>
  <c r="G35" i="76"/>
  <c r="G35" i="75"/>
  <c r="G35" i="74"/>
  <c r="G35" i="73"/>
  <c r="G35" i="72"/>
  <c r="G35" i="71"/>
  <c r="J32" i="70"/>
  <c r="J28" i="70"/>
  <c r="J24" i="70"/>
  <c r="J20" i="70"/>
  <c r="J16" i="70"/>
  <c r="J12" i="70"/>
  <c r="J10" i="70"/>
  <c r="J6" i="70"/>
  <c r="J33" i="70"/>
  <c r="J29" i="70"/>
  <c r="K29" i="70" s="1"/>
  <c r="J25" i="70"/>
  <c r="K25" i="70" s="1"/>
  <c r="J21" i="70"/>
  <c r="K21" i="70" s="1"/>
  <c r="J17" i="70"/>
  <c r="K17" i="70" s="1"/>
  <c r="J13" i="70"/>
  <c r="K13" i="70" s="1"/>
  <c r="J9" i="70"/>
  <c r="J5" i="70"/>
  <c r="J4" i="70"/>
  <c r="J34" i="70"/>
  <c r="J30" i="70"/>
  <c r="J26" i="70"/>
  <c r="J22" i="70"/>
  <c r="J18" i="70"/>
  <c r="J14" i="70"/>
  <c r="J8" i="70"/>
  <c r="J31" i="70"/>
  <c r="J27" i="70"/>
  <c r="J23" i="70"/>
  <c r="J19" i="70"/>
  <c r="J15" i="70"/>
  <c r="J11" i="70"/>
  <c r="J7" i="70"/>
  <c r="I5" i="70"/>
  <c r="I6" i="70"/>
  <c r="I7" i="70"/>
  <c r="I8" i="70"/>
  <c r="I9" i="70"/>
  <c r="I10" i="70"/>
  <c r="I11" i="70"/>
  <c r="I12" i="70"/>
  <c r="I13" i="70"/>
  <c r="I14" i="70"/>
  <c r="I15" i="70"/>
  <c r="I16" i="70"/>
  <c r="I17" i="70"/>
  <c r="I18" i="70"/>
  <c r="I19" i="70"/>
  <c r="I20" i="70"/>
  <c r="I21" i="70"/>
  <c r="I22" i="70"/>
  <c r="I23" i="70"/>
  <c r="I24" i="70"/>
  <c r="I25" i="70"/>
  <c r="I26" i="70"/>
  <c r="I27" i="70"/>
  <c r="I28" i="70"/>
  <c r="I29" i="70"/>
  <c r="I30" i="70"/>
  <c r="I31" i="70"/>
  <c r="I32" i="70"/>
  <c r="I33" i="70"/>
  <c r="J32" i="69"/>
  <c r="J28" i="69"/>
  <c r="J24" i="69"/>
  <c r="J20" i="69"/>
  <c r="J16" i="69"/>
  <c r="J12" i="69"/>
  <c r="J10" i="69"/>
  <c r="J6" i="69"/>
  <c r="J30" i="69"/>
  <c r="J18" i="69"/>
  <c r="J14" i="69"/>
  <c r="J8" i="69"/>
  <c r="J33" i="69"/>
  <c r="K33" i="69" s="1"/>
  <c r="J29" i="69"/>
  <c r="J25" i="69"/>
  <c r="K25" i="69" s="1"/>
  <c r="J21" i="69"/>
  <c r="K21" i="69" s="1"/>
  <c r="J17" i="69"/>
  <c r="K17" i="69" s="1"/>
  <c r="J13" i="69"/>
  <c r="K13" i="69" s="1"/>
  <c r="J9" i="69"/>
  <c r="J5" i="69"/>
  <c r="J4" i="69"/>
  <c r="J34" i="69"/>
  <c r="J26" i="69"/>
  <c r="K26" i="69" s="1"/>
  <c r="J31" i="69"/>
  <c r="J27" i="69"/>
  <c r="J23" i="69"/>
  <c r="J19" i="69"/>
  <c r="J15" i="69"/>
  <c r="J11" i="69"/>
  <c r="J7" i="69"/>
  <c r="J22" i="69"/>
  <c r="I5" i="69"/>
  <c r="I6" i="69"/>
  <c r="I7" i="69"/>
  <c r="I8" i="69"/>
  <c r="I9" i="69"/>
  <c r="I10" i="69"/>
  <c r="I11" i="69"/>
  <c r="I12" i="69"/>
  <c r="I13" i="69"/>
  <c r="I14" i="69"/>
  <c r="I15" i="69"/>
  <c r="I16" i="69"/>
  <c r="I17" i="69"/>
  <c r="I18" i="69"/>
  <c r="I19" i="69"/>
  <c r="I20" i="69"/>
  <c r="I21" i="69"/>
  <c r="I22" i="69"/>
  <c r="I23" i="69"/>
  <c r="I24" i="69"/>
  <c r="I25" i="69"/>
  <c r="I26" i="69"/>
  <c r="I27" i="69"/>
  <c r="I28" i="69"/>
  <c r="I29" i="69"/>
  <c r="I30" i="69"/>
  <c r="I31" i="69"/>
  <c r="I32" i="69"/>
  <c r="I33" i="69"/>
  <c r="J32" i="68"/>
  <c r="J28" i="68"/>
  <c r="J24" i="68"/>
  <c r="J20" i="68"/>
  <c r="J16" i="68"/>
  <c r="J12" i="68"/>
  <c r="J10" i="68"/>
  <c r="J6" i="68"/>
  <c r="J33" i="68"/>
  <c r="K33" i="68" s="1"/>
  <c r="J29" i="68"/>
  <c r="K29" i="68" s="1"/>
  <c r="J25" i="68"/>
  <c r="J21" i="68"/>
  <c r="J17" i="68"/>
  <c r="K17" i="68" s="1"/>
  <c r="J13" i="68"/>
  <c r="K13" i="68" s="1"/>
  <c r="J9" i="68"/>
  <c r="J5" i="68"/>
  <c r="J4" i="68"/>
  <c r="J34" i="68"/>
  <c r="J30" i="68"/>
  <c r="J26" i="68"/>
  <c r="J22" i="68"/>
  <c r="J18" i="68"/>
  <c r="J14" i="68"/>
  <c r="J8" i="68"/>
  <c r="J31" i="68"/>
  <c r="J27" i="68"/>
  <c r="J23" i="68"/>
  <c r="J19" i="68"/>
  <c r="J15" i="68"/>
  <c r="J11" i="68"/>
  <c r="J7" i="68"/>
  <c r="I5" i="68"/>
  <c r="I6" i="68"/>
  <c r="I7" i="68"/>
  <c r="I8" i="68"/>
  <c r="I9" i="68"/>
  <c r="I10" i="68"/>
  <c r="I11" i="68"/>
  <c r="I12" i="68"/>
  <c r="I13" i="68"/>
  <c r="I14" i="68"/>
  <c r="I15" i="68"/>
  <c r="I16" i="68"/>
  <c r="I17" i="68"/>
  <c r="I18" i="68"/>
  <c r="I19" i="68"/>
  <c r="I20" i="68"/>
  <c r="I21" i="68"/>
  <c r="I22" i="68"/>
  <c r="I23" i="68"/>
  <c r="I24" i="68"/>
  <c r="I25" i="68"/>
  <c r="I26" i="68"/>
  <c r="I27" i="68"/>
  <c r="I28" i="68"/>
  <c r="I29" i="68"/>
  <c r="I30" i="68"/>
  <c r="I31" i="68"/>
  <c r="I32" i="68"/>
  <c r="I33" i="68"/>
  <c r="G35" i="67"/>
  <c r="G35" i="66"/>
  <c r="G36" i="65"/>
  <c r="G35" i="64"/>
  <c r="J32" i="63"/>
  <c r="J28" i="63"/>
  <c r="J24" i="63"/>
  <c r="J20" i="63"/>
  <c r="J16" i="63"/>
  <c r="J12" i="63"/>
  <c r="J10" i="63"/>
  <c r="J6" i="63"/>
  <c r="J33" i="63"/>
  <c r="K33" i="63" s="1"/>
  <c r="J29" i="63"/>
  <c r="J25" i="63"/>
  <c r="J21" i="63"/>
  <c r="K21" i="63" s="1"/>
  <c r="J17" i="63"/>
  <c r="K17" i="63" s="1"/>
  <c r="J13" i="63"/>
  <c r="J34" i="63"/>
  <c r="J30" i="63"/>
  <c r="J26" i="63"/>
  <c r="J22" i="63"/>
  <c r="J18" i="63"/>
  <c r="J14" i="63"/>
  <c r="J8" i="63"/>
  <c r="J9" i="63"/>
  <c r="J5" i="63"/>
  <c r="J4" i="63"/>
  <c r="J31" i="63"/>
  <c r="J27" i="63"/>
  <c r="J23" i="63"/>
  <c r="J19" i="63"/>
  <c r="J15" i="63"/>
  <c r="J11" i="63"/>
  <c r="J7" i="63"/>
  <c r="I5" i="63"/>
  <c r="I6" i="63"/>
  <c r="I7" i="63"/>
  <c r="I8" i="63"/>
  <c r="I9" i="63"/>
  <c r="I10" i="63"/>
  <c r="I11" i="63"/>
  <c r="I12" i="63"/>
  <c r="I13" i="63"/>
  <c r="I14" i="63"/>
  <c r="I15" i="63"/>
  <c r="I16" i="63"/>
  <c r="I17" i="63"/>
  <c r="I18" i="63"/>
  <c r="I19" i="63"/>
  <c r="I20" i="63"/>
  <c r="I21" i="63"/>
  <c r="I22" i="63"/>
  <c r="I23" i="63"/>
  <c r="I24" i="63"/>
  <c r="I25" i="63"/>
  <c r="I26" i="63"/>
  <c r="I27" i="63"/>
  <c r="I28" i="63"/>
  <c r="I29" i="63"/>
  <c r="I30" i="63"/>
  <c r="I31" i="63"/>
  <c r="I32" i="63"/>
  <c r="I33" i="63"/>
  <c r="I34" i="63"/>
  <c r="G36" i="62"/>
  <c r="G35" i="61"/>
  <c r="G35" i="60"/>
  <c r="G35" i="59"/>
  <c r="G34" i="35"/>
  <c r="G35" i="34"/>
  <c r="G35" i="33"/>
  <c r="G34" i="32"/>
  <c r="G35" i="31"/>
  <c r="G34" i="30"/>
  <c r="G34" i="29"/>
  <c r="G34" i="28"/>
  <c r="K25" i="63" l="1"/>
  <c r="K21" i="68"/>
  <c r="K33" i="70"/>
  <c r="N7" i="69"/>
  <c r="N6" i="63"/>
  <c r="K26" i="70"/>
  <c r="N6" i="70"/>
  <c r="N9" i="70"/>
  <c r="N8" i="70"/>
  <c r="N7" i="70"/>
  <c r="K11" i="70"/>
  <c r="N9" i="69"/>
  <c r="N8" i="69"/>
  <c r="K11" i="69"/>
  <c r="N6" i="69"/>
  <c r="N6" i="68"/>
  <c r="N9" i="68"/>
  <c r="N8" i="68"/>
  <c r="N7" i="68"/>
  <c r="N9" i="63"/>
  <c r="N8" i="63"/>
  <c r="N7" i="63"/>
  <c r="L38" i="82"/>
  <c r="I39" i="82"/>
  <c r="J39" i="82" s="1"/>
  <c r="I39" i="81"/>
  <c r="J39" i="81" s="1"/>
  <c r="L38" i="81"/>
  <c r="E42" i="80"/>
  <c r="K25" i="68"/>
  <c r="K11" i="68"/>
  <c r="K27" i="63"/>
  <c r="K18" i="68"/>
  <c r="K34" i="68"/>
  <c r="K18" i="70"/>
  <c r="K34" i="70"/>
  <c r="K13" i="63"/>
  <c r="K29" i="63"/>
  <c r="K14" i="70"/>
  <c r="K30" i="70"/>
  <c r="M3" i="63"/>
  <c r="Q32" i="1" s="1"/>
  <c r="K15" i="70"/>
  <c r="K31" i="70"/>
  <c r="K7" i="68"/>
  <c r="K22" i="69"/>
  <c r="K9" i="69"/>
  <c r="K7" i="70"/>
  <c r="K15" i="68"/>
  <c r="K31" i="68"/>
  <c r="K22" i="68"/>
  <c r="K22" i="70"/>
  <c r="K27" i="68"/>
  <c r="K7" i="69"/>
  <c r="K27" i="70"/>
  <c r="G36" i="77"/>
  <c r="G36" i="76"/>
  <c r="G36" i="75"/>
  <c r="G36" i="74"/>
  <c r="G36" i="73"/>
  <c r="G36" i="72"/>
  <c r="G36" i="71"/>
  <c r="K19" i="70"/>
  <c r="K16" i="70"/>
  <c r="K32" i="70"/>
  <c r="K12" i="70"/>
  <c r="K28" i="70"/>
  <c r="K23" i="70"/>
  <c r="K9" i="70"/>
  <c r="K10" i="70"/>
  <c r="K24" i="70"/>
  <c r="M3" i="70"/>
  <c r="Q35" i="1" s="1"/>
  <c r="K8" i="70"/>
  <c r="K5" i="70"/>
  <c r="K6" i="70"/>
  <c r="K20" i="70"/>
  <c r="K27" i="69"/>
  <c r="K23" i="69"/>
  <c r="K34" i="69"/>
  <c r="K18" i="69"/>
  <c r="K12" i="69"/>
  <c r="K28" i="69"/>
  <c r="K15" i="69"/>
  <c r="K31" i="69"/>
  <c r="K29" i="69"/>
  <c r="K30" i="69"/>
  <c r="K16" i="69"/>
  <c r="K32" i="69"/>
  <c r="K19" i="69"/>
  <c r="K14" i="69"/>
  <c r="K10" i="69"/>
  <c r="K24" i="69"/>
  <c r="M3" i="69"/>
  <c r="Q34" i="1" s="1"/>
  <c r="K5" i="69"/>
  <c r="K8" i="69"/>
  <c r="K6" i="69"/>
  <c r="K20" i="69"/>
  <c r="K26" i="68"/>
  <c r="K16" i="68"/>
  <c r="K32" i="68"/>
  <c r="K28" i="68"/>
  <c r="K23" i="68"/>
  <c r="K14" i="68"/>
  <c r="K30" i="68"/>
  <c r="K9" i="68"/>
  <c r="K10" i="68"/>
  <c r="K24" i="68"/>
  <c r="M3" i="68"/>
  <c r="Q33" i="1" s="1"/>
  <c r="K12" i="68"/>
  <c r="K19" i="68"/>
  <c r="K8" i="68"/>
  <c r="K5" i="68"/>
  <c r="K6" i="68"/>
  <c r="K20" i="68"/>
  <c r="G36" i="67"/>
  <c r="G36" i="66"/>
  <c r="G37" i="65"/>
  <c r="G36" i="64"/>
  <c r="K26" i="63"/>
  <c r="K19" i="63"/>
  <c r="K11" i="63"/>
  <c r="K9" i="63"/>
  <c r="K22" i="63"/>
  <c r="K8" i="63"/>
  <c r="K6" i="63"/>
  <c r="K15" i="63"/>
  <c r="K31" i="63"/>
  <c r="K16" i="63"/>
  <c r="K32" i="63"/>
  <c r="K12" i="63"/>
  <c r="K28" i="63"/>
  <c r="K7" i="63"/>
  <c r="K23" i="63"/>
  <c r="K5" i="63"/>
  <c r="K18" i="63"/>
  <c r="K34" i="63"/>
  <c r="K10" i="63"/>
  <c r="K24" i="63"/>
  <c r="K14" i="63"/>
  <c r="K30" i="63"/>
  <c r="K20" i="63"/>
  <c r="G37" i="62"/>
  <c r="G36" i="61"/>
  <c r="G36" i="60"/>
  <c r="G36" i="59"/>
  <c r="G36" i="34"/>
  <c r="G36" i="33"/>
  <c r="G35" i="32"/>
  <c r="G36" i="31"/>
  <c r="G35" i="30"/>
  <c r="G35" i="29"/>
  <c r="G35" i="28"/>
  <c r="O9" i="68" l="1"/>
  <c r="O8" i="69"/>
  <c r="O6" i="63"/>
  <c r="O9" i="63"/>
  <c r="O6" i="69"/>
  <c r="O7" i="70"/>
  <c r="O8" i="70"/>
  <c r="O9" i="70"/>
  <c r="O6" i="70"/>
  <c r="O7" i="69"/>
  <c r="O9" i="69"/>
  <c r="O6" i="68"/>
  <c r="O7" i="68"/>
  <c r="O8" i="68"/>
  <c r="O7" i="63"/>
  <c r="O8" i="63"/>
  <c r="L39" i="82"/>
  <c r="I40" i="82"/>
  <c r="J40" i="82" s="1"/>
  <c r="L39" i="81"/>
  <c r="I40" i="81"/>
  <c r="J40" i="81" s="1"/>
  <c r="E43" i="80"/>
  <c r="G37" i="77"/>
  <c r="G37" i="76"/>
  <c r="G37" i="75"/>
  <c r="G37" i="74"/>
  <c r="G37" i="73"/>
  <c r="G37" i="72"/>
  <c r="G37" i="71"/>
  <c r="G37" i="67"/>
  <c r="G37" i="66"/>
  <c r="G38" i="65"/>
  <c r="G37" i="64"/>
  <c r="G38" i="62"/>
  <c r="G37" i="61"/>
  <c r="G37" i="60"/>
  <c r="G37" i="59"/>
  <c r="G37" i="34"/>
  <c r="G37" i="33"/>
  <c r="G36" i="32"/>
  <c r="G37" i="31"/>
  <c r="G36" i="30"/>
  <c r="G36" i="29"/>
  <c r="G36" i="28"/>
  <c r="O10" i="63" l="1"/>
  <c r="L10" i="69"/>
  <c r="L10" i="63"/>
  <c r="O10" i="70"/>
  <c r="L10" i="70"/>
  <c r="O10" i="69"/>
  <c r="L10" i="68"/>
  <c r="O10" i="68"/>
  <c r="L40" i="82"/>
  <c r="I41" i="82"/>
  <c r="J41" i="82" s="1"/>
  <c r="L40" i="81"/>
  <c r="I41" i="81"/>
  <c r="J41" i="81" s="1"/>
  <c r="E44" i="80"/>
  <c r="G38" i="77"/>
  <c r="G38" i="76"/>
  <c r="G38" i="75"/>
  <c r="G38" i="74"/>
  <c r="G38" i="73"/>
  <c r="G38" i="72"/>
  <c r="G38" i="71"/>
  <c r="G38" i="67"/>
  <c r="G38" i="66"/>
  <c r="G39" i="65"/>
  <c r="G38" i="64"/>
  <c r="G39" i="62"/>
  <c r="G38" i="61"/>
  <c r="G38" i="60"/>
  <c r="G38" i="59"/>
  <c r="G38" i="34"/>
  <c r="G38" i="33"/>
  <c r="G37" i="32"/>
  <c r="G38" i="31"/>
  <c r="G37" i="30"/>
  <c r="G37" i="29"/>
  <c r="G37" i="28"/>
  <c r="L41" i="82" l="1"/>
  <c r="I42" i="82"/>
  <c r="J42" i="82" s="1"/>
  <c r="I42" i="81"/>
  <c r="J42" i="81" s="1"/>
  <c r="L41" i="81"/>
  <c r="E45" i="80"/>
  <c r="G39" i="77"/>
  <c r="G39" i="76"/>
  <c r="G39" i="75"/>
  <c r="G39" i="74"/>
  <c r="G39" i="73"/>
  <c r="I39" i="73" s="1"/>
  <c r="G39" i="72"/>
  <c r="I39" i="72" s="1"/>
  <c r="G39" i="71"/>
  <c r="I39" i="71" s="1"/>
  <c r="G39" i="67"/>
  <c r="G39" i="66"/>
  <c r="G40" i="65"/>
  <c r="G39" i="64"/>
  <c r="G40" i="62"/>
  <c r="G39" i="61"/>
  <c r="G39" i="60"/>
  <c r="G39" i="59"/>
  <c r="G39" i="34"/>
  <c r="G39" i="33"/>
  <c r="G38" i="32"/>
  <c r="G39" i="31"/>
  <c r="G38" i="30"/>
  <c r="G38" i="29"/>
  <c r="G38" i="28"/>
  <c r="L42" i="82" l="1"/>
  <c r="I43" i="82"/>
  <c r="J43" i="82" s="1"/>
  <c r="L42" i="81"/>
  <c r="I43" i="81"/>
  <c r="J43" i="81" s="1"/>
  <c r="E46" i="80"/>
  <c r="G40" i="77"/>
  <c r="G40" i="76"/>
  <c r="G40" i="75"/>
  <c r="J37" i="74"/>
  <c r="J33" i="74"/>
  <c r="J29" i="74"/>
  <c r="J25" i="74"/>
  <c r="J21" i="74"/>
  <c r="J17" i="74"/>
  <c r="J13" i="74"/>
  <c r="J9" i="74"/>
  <c r="J5" i="74"/>
  <c r="J4" i="74"/>
  <c r="J38" i="74"/>
  <c r="J34" i="74"/>
  <c r="J30" i="74"/>
  <c r="J26" i="74"/>
  <c r="J22" i="74"/>
  <c r="J18" i="74"/>
  <c r="J14" i="74"/>
  <c r="J8" i="74"/>
  <c r="J39" i="74"/>
  <c r="J35" i="74"/>
  <c r="K35" i="74" s="1"/>
  <c r="J31" i="74"/>
  <c r="J27" i="74"/>
  <c r="K27" i="74" s="1"/>
  <c r="J23" i="74"/>
  <c r="J19" i="74"/>
  <c r="K19" i="74" s="1"/>
  <c r="J15" i="74"/>
  <c r="K15" i="74" s="1"/>
  <c r="J11" i="74"/>
  <c r="J7" i="74"/>
  <c r="J36" i="74"/>
  <c r="K36" i="74" s="1"/>
  <c r="J32" i="74"/>
  <c r="K32" i="74" s="1"/>
  <c r="J28" i="74"/>
  <c r="K28" i="74" s="1"/>
  <c r="J24" i="74"/>
  <c r="K24" i="74" s="1"/>
  <c r="J20" i="74"/>
  <c r="J16" i="74"/>
  <c r="K16" i="74" s="1"/>
  <c r="J12" i="74"/>
  <c r="J10" i="74"/>
  <c r="J6" i="74"/>
  <c r="I5" i="74"/>
  <c r="I6" i="74"/>
  <c r="I7" i="74"/>
  <c r="I8" i="74"/>
  <c r="I9" i="74"/>
  <c r="I10" i="74"/>
  <c r="I11" i="74"/>
  <c r="I12" i="74"/>
  <c r="I13" i="74"/>
  <c r="I14" i="74"/>
  <c r="I15" i="74"/>
  <c r="I16" i="74"/>
  <c r="I17" i="74"/>
  <c r="I18" i="74"/>
  <c r="I19" i="74"/>
  <c r="I20" i="74"/>
  <c r="I21" i="74"/>
  <c r="I22" i="74"/>
  <c r="I23" i="74"/>
  <c r="I24" i="74"/>
  <c r="I25" i="74"/>
  <c r="I26" i="74"/>
  <c r="I27" i="74"/>
  <c r="I28" i="74"/>
  <c r="I29" i="74"/>
  <c r="I30" i="74"/>
  <c r="I31" i="74"/>
  <c r="I32" i="74"/>
  <c r="I33" i="74"/>
  <c r="I34" i="74"/>
  <c r="I35" i="74"/>
  <c r="I36" i="74"/>
  <c r="I37" i="74"/>
  <c r="I38" i="74"/>
  <c r="I39" i="74"/>
  <c r="J37" i="73"/>
  <c r="J33" i="73"/>
  <c r="J38" i="73"/>
  <c r="J34" i="73"/>
  <c r="J30" i="73"/>
  <c r="J26" i="73"/>
  <c r="J22" i="73"/>
  <c r="J18" i="73"/>
  <c r="J14" i="73"/>
  <c r="J8" i="73"/>
  <c r="J29" i="73"/>
  <c r="J17" i="73"/>
  <c r="J5" i="73"/>
  <c r="J4" i="73"/>
  <c r="J39" i="73"/>
  <c r="K39" i="73" s="1"/>
  <c r="J35" i="73"/>
  <c r="J31" i="73"/>
  <c r="K31" i="73" s="1"/>
  <c r="J27" i="73"/>
  <c r="J23" i="73"/>
  <c r="K23" i="73" s="1"/>
  <c r="J19" i="73"/>
  <c r="K19" i="73" s="1"/>
  <c r="J15" i="73"/>
  <c r="K15" i="73" s="1"/>
  <c r="J11" i="73"/>
  <c r="J7" i="73"/>
  <c r="J13" i="73"/>
  <c r="J9" i="73"/>
  <c r="J36" i="73"/>
  <c r="J32" i="73"/>
  <c r="J28" i="73"/>
  <c r="J24" i="73"/>
  <c r="J20" i="73"/>
  <c r="J16" i="73"/>
  <c r="J12" i="73"/>
  <c r="J10" i="73"/>
  <c r="K10" i="73" s="1"/>
  <c r="J6" i="73"/>
  <c r="J25" i="73"/>
  <c r="J21" i="73"/>
  <c r="I5" i="73"/>
  <c r="I6" i="73"/>
  <c r="I7" i="73"/>
  <c r="I8" i="73"/>
  <c r="I9" i="73"/>
  <c r="I10" i="73"/>
  <c r="I11" i="73"/>
  <c r="I12" i="73"/>
  <c r="I13" i="73"/>
  <c r="I14" i="73"/>
  <c r="I15" i="73"/>
  <c r="I16" i="73"/>
  <c r="I17" i="73"/>
  <c r="I18" i="73"/>
  <c r="I19" i="73"/>
  <c r="I20" i="73"/>
  <c r="I21" i="73"/>
  <c r="I22" i="73"/>
  <c r="I23" i="73"/>
  <c r="I24" i="73"/>
  <c r="I25" i="73"/>
  <c r="I26" i="73"/>
  <c r="I27" i="73"/>
  <c r="I28" i="73"/>
  <c r="I29" i="73"/>
  <c r="I30" i="73"/>
  <c r="I31" i="73"/>
  <c r="I32" i="73"/>
  <c r="I33" i="73"/>
  <c r="I34" i="73"/>
  <c r="I35" i="73"/>
  <c r="I36" i="73"/>
  <c r="I37" i="73"/>
  <c r="I38" i="73"/>
  <c r="J37" i="72"/>
  <c r="J33" i="72"/>
  <c r="J29" i="72"/>
  <c r="J25" i="72"/>
  <c r="J21" i="72"/>
  <c r="J17" i="72"/>
  <c r="J13" i="72"/>
  <c r="J9" i="72"/>
  <c r="J5" i="72"/>
  <c r="J4" i="72"/>
  <c r="J38" i="72"/>
  <c r="J34" i="72"/>
  <c r="J30" i="72"/>
  <c r="J26" i="72"/>
  <c r="J22" i="72"/>
  <c r="J18" i="72"/>
  <c r="J14" i="72"/>
  <c r="J8" i="72"/>
  <c r="J39" i="72"/>
  <c r="K39" i="72" s="1"/>
  <c r="J35" i="72"/>
  <c r="K35" i="72" s="1"/>
  <c r="J31" i="72"/>
  <c r="J27" i="72"/>
  <c r="K27" i="72" s="1"/>
  <c r="J23" i="72"/>
  <c r="K23" i="72" s="1"/>
  <c r="J19" i="72"/>
  <c r="J15" i="72"/>
  <c r="K15" i="72" s="1"/>
  <c r="J11" i="72"/>
  <c r="J7" i="72"/>
  <c r="J36" i="72"/>
  <c r="K36" i="72" s="1"/>
  <c r="J32" i="72"/>
  <c r="K32" i="72" s="1"/>
  <c r="J28" i="72"/>
  <c r="K28" i="72" s="1"/>
  <c r="J24" i="72"/>
  <c r="K24" i="72" s="1"/>
  <c r="J20" i="72"/>
  <c r="J16" i="72"/>
  <c r="K16" i="72" s="1"/>
  <c r="J12" i="72"/>
  <c r="K12" i="72" s="1"/>
  <c r="J10" i="72"/>
  <c r="J6" i="72"/>
  <c r="I5" i="72"/>
  <c r="I6" i="72"/>
  <c r="I7" i="72"/>
  <c r="I8" i="72"/>
  <c r="I9" i="72"/>
  <c r="I10" i="72"/>
  <c r="I11" i="72"/>
  <c r="I12" i="72"/>
  <c r="I13" i="72"/>
  <c r="I14" i="72"/>
  <c r="I15" i="72"/>
  <c r="I16" i="72"/>
  <c r="I17" i="72"/>
  <c r="I18" i="72"/>
  <c r="I19" i="72"/>
  <c r="I20" i="72"/>
  <c r="I21" i="72"/>
  <c r="I22" i="72"/>
  <c r="I23" i="72"/>
  <c r="I24" i="72"/>
  <c r="I25" i="72"/>
  <c r="I26" i="72"/>
  <c r="I27" i="72"/>
  <c r="I28" i="72"/>
  <c r="I29" i="72"/>
  <c r="I30" i="72"/>
  <c r="I31" i="72"/>
  <c r="I32" i="72"/>
  <c r="I33" i="72"/>
  <c r="I34" i="72"/>
  <c r="I35" i="72"/>
  <c r="I36" i="72"/>
  <c r="I37" i="72"/>
  <c r="I38" i="72"/>
  <c r="J37" i="71"/>
  <c r="J33" i="71"/>
  <c r="J29" i="71"/>
  <c r="J25" i="71"/>
  <c r="J21" i="71"/>
  <c r="J17" i="71"/>
  <c r="J13" i="71"/>
  <c r="J9" i="71"/>
  <c r="J5" i="71"/>
  <c r="J4" i="71"/>
  <c r="J38" i="71"/>
  <c r="J34" i="71"/>
  <c r="J30" i="71"/>
  <c r="J26" i="71"/>
  <c r="J22" i="71"/>
  <c r="J18" i="71"/>
  <c r="J14" i="71"/>
  <c r="J8" i="71"/>
  <c r="J39" i="71"/>
  <c r="J35" i="71"/>
  <c r="K35" i="71" s="1"/>
  <c r="J31" i="71"/>
  <c r="K31" i="71" s="1"/>
  <c r="J27" i="71"/>
  <c r="J23" i="71"/>
  <c r="J19" i="71"/>
  <c r="K19" i="71" s="1"/>
  <c r="J15" i="71"/>
  <c r="K15" i="71" s="1"/>
  <c r="J11" i="71"/>
  <c r="J7" i="71"/>
  <c r="J36" i="71"/>
  <c r="K36" i="71" s="1"/>
  <c r="J32" i="71"/>
  <c r="K32" i="71" s="1"/>
  <c r="J28" i="71"/>
  <c r="J24" i="71"/>
  <c r="J20" i="71"/>
  <c r="J16" i="71"/>
  <c r="K16" i="71" s="1"/>
  <c r="J12" i="71"/>
  <c r="J10" i="71"/>
  <c r="J6"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G40" i="67"/>
  <c r="G40" i="66"/>
  <c r="G41" i="65"/>
  <c r="G40" i="64"/>
  <c r="G41" i="62"/>
  <c r="G40" i="61"/>
  <c r="G40" i="60"/>
  <c r="G40" i="59"/>
  <c r="G40" i="34"/>
  <c r="G40" i="33"/>
  <c r="G39" i="32"/>
  <c r="G40" i="31"/>
  <c r="G39" i="30"/>
  <c r="G39" i="29"/>
  <c r="G39" i="28"/>
  <c r="K20" i="72" l="1"/>
  <c r="K35" i="73"/>
  <c r="K28" i="71"/>
  <c r="K23" i="74"/>
  <c r="K39" i="74"/>
  <c r="K19" i="72"/>
  <c r="K24" i="71"/>
  <c r="K27" i="71"/>
  <c r="K27" i="73"/>
  <c r="K31" i="72"/>
  <c r="K12" i="74"/>
  <c r="K31" i="74"/>
  <c r="N7" i="71"/>
  <c r="N7" i="73"/>
  <c r="N7" i="72"/>
  <c r="K18" i="72"/>
  <c r="K34" i="72"/>
  <c r="N6" i="74"/>
  <c r="N9" i="74"/>
  <c r="N8" i="74"/>
  <c r="N7" i="74"/>
  <c r="N8" i="73"/>
  <c r="N9" i="73"/>
  <c r="N6" i="73"/>
  <c r="N9" i="72"/>
  <c r="N8" i="72"/>
  <c r="N6" i="72"/>
  <c r="N9" i="71"/>
  <c r="N6" i="71"/>
  <c r="N8" i="71"/>
  <c r="L43" i="82"/>
  <c r="I44" i="82"/>
  <c r="J44" i="82" s="1"/>
  <c r="I44" i="81"/>
  <c r="J44" i="81" s="1"/>
  <c r="L43" i="81"/>
  <c r="E47" i="80"/>
  <c r="K39" i="71"/>
  <c r="K20" i="74"/>
  <c r="K14" i="74"/>
  <c r="K30" i="74"/>
  <c r="K23" i="71"/>
  <c r="K6" i="74"/>
  <c r="K12" i="71"/>
  <c r="K14" i="71"/>
  <c r="K30" i="71"/>
  <c r="K24" i="73"/>
  <c r="K6" i="71"/>
  <c r="K11" i="71"/>
  <c r="K6" i="73"/>
  <c r="K14" i="72"/>
  <c r="K30" i="72"/>
  <c r="G41" i="77"/>
  <c r="G41" i="76"/>
  <c r="G41" i="75"/>
  <c r="K26" i="74"/>
  <c r="K11" i="74"/>
  <c r="K8" i="74"/>
  <c r="K17" i="74"/>
  <c r="K33" i="74"/>
  <c r="K22" i="74"/>
  <c r="K38" i="74"/>
  <c r="K25" i="74"/>
  <c r="M3" i="74"/>
  <c r="Q30" i="1" s="1"/>
  <c r="K5" i="74"/>
  <c r="K21" i="74"/>
  <c r="K37" i="74"/>
  <c r="K10" i="74"/>
  <c r="K7" i="74"/>
  <c r="K13" i="74"/>
  <c r="K29" i="74"/>
  <c r="K18" i="74"/>
  <c r="K34" i="74"/>
  <c r="K9" i="74"/>
  <c r="K16" i="73"/>
  <c r="K32" i="73"/>
  <c r="K9" i="73"/>
  <c r="K25" i="73"/>
  <c r="K21" i="73"/>
  <c r="K12" i="73"/>
  <c r="K28" i="73"/>
  <c r="K17" i="73"/>
  <c r="K34" i="73"/>
  <c r="M3" i="73"/>
  <c r="Q29" i="1" s="1"/>
  <c r="K5" i="73"/>
  <c r="K14" i="73"/>
  <c r="K30" i="73"/>
  <c r="K37" i="73"/>
  <c r="K20" i="73"/>
  <c r="K36" i="73"/>
  <c r="K11" i="73"/>
  <c r="K8" i="73"/>
  <c r="K26" i="73"/>
  <c r="K33" i="73"/>
  <c r="K7" i="73"/>
  <c r="K29" i="73"/>
  <c r="K22" i="73"/>
  <c r="K38" i="73"/>
  <c r="K13" i="73"/>
  <c r="K18" i="73"/>
  <c r="K11" i="72"/>
  <c r="K8" i="72"/>
  <c r="K22" i="72"/>
  <c r="K38" i="72"/>
  <c r="K6" i="72"/>
  <c r="K9" i="72"/>
  <c r="K25" i="72"/>
  <c r="M3" i="72"/>
  <c r="Q28" i="1" s="1"/>
  <c r="K5" i="72"/>
  <c r="K21" i="72"/>
  <c r="K37" i="72"/>
  <c r="K26" i="72"/>
  <c r="K17" i="72"/>
  <c r="K33" i="72"/>
  <c r="K10" i="72"/>
  <c r="K7" i="72"/>
  <c r="K13" i="72"/>
  <c r="K29" i="72"/>
  <c r="K8" i="71"/>
  <c r="K26" i="71"/>
  <c r="K17" i="71"/>
  <c r="K33" i="71"/>
  <c r="K20" i="71"/>
  <c r="K10" i="71"/>
  <c r="K22" i="71"/>
  <c r="K38" i="71"/>
  <c r="M3" i="71"/>
  <c r="Q27" i="1" s="1"/>
  <c r="K5" i="71"/>
  <c r="K21" i="71"/>
  <c r="K37" i="71"/>
  <c r="K7" i="71"/>
  <c r="K13" i="71"/>
  <c r="K29" i="71"/>
  <c r="K18" i="71"/>
  <c r="K34" i="71"/>
  <c r="K9" i="71"/>
  <c r="K25" i="71"/>
  <c r="G41" i="67"/>
  <c r="G41" i="66"/>
  <c r="G42" i="65"/>
  <c r="G41" i="64"/>
  <c r="G42" i="62"/>
  <c r="G41" i="61"/>
  <c r="G41" i="60"/>
  <c r="G41" i="59"/>
  <c r="J31" i="35"/>
  <c r="J27" i="35"/>
  <c r="J23" i="35"/>
  <c r="J19" i="35"/>
  <c r="J15" i="35"/>
  <c r="J11" i="35"/>
  <c r="J7" i="35"/>
  <c r="J32" i="35"/>
  <c r="J34" i="35"/>
  <c r="J30" i="35"/>
  <c r="J26" i="35"/>
  <c r="J22" i="35"/>
  <c r="J18" i="35"/>
  <c r="J14" i="35"/>
  <c r="J8" i="35"/>
  <c r="J28" i="35"/>
  <c r="J33" i="35"/>
  <c r="J29" i="35"/>
  <c r="J25" i="35"/>
  <c r="J21" i="35"/>
  <c r="J17" i="35"/>
  <c r="J13" i="35"/>
  <c r="J9" i="35"/>
  <c r="J5" i="35"/>
  <c r="J4" i="35"/>
  <c r="J24" i="35"/>
  <c r="J20" i="35"/>
  <c r="J16" i="35"/>
  <c r="J10" i="35"/>
  <c r="J6" i="35"/>
  <c r="J12" i="35"/>
  <c r="I5" i="35"/>
  <c r="I6" i="35"/>
  <c r="I7" i="35"/>
  <c r="I8" i="35"/>
  <c r="I9" i="35"/>
  <c r="I10" i="35"/>
  <c r="I11" i="35"/>
  <c r="I12" i="35"/>
  <c r="I13" i="35"/>
  <c r="I14" i="35"/>
  <c r="I15" i="35"/>
  <c r="I16" i="35"/>
  <c r="I17" i="35"/>
  <c r="I18" i="35"/>
  <c r="I19" i="35"/>
  <c r="I20" i="35"/>
  <c r="I21" i="35"/>
  <c r="I22" i="35"/>
  <c r="I23" i="35"/>
  <c r="I24" i="35"/>
  <c r="I25" i="35"/>
  <c r="I26" i="35"/>
  <c r="I27" i="35"/>
  <c r="I28" i="35"/>
  <c r="I29" i="35"/>
  <c r="I30" i="35"/>
  <c r="I31" i="35"/>
  <c r="I32" i="35"/>
  <c r="I33" i="35"/>
  <c r="I34" i="35"/>
  <c r="G41" i="34"/>
  <c r="G41" i="33"/>
  <c r="G40" i="32"/>
  <c r="G41" i="31"/>
  <c r="G40" i="29"/>
  <c r="G40" i="28"/>
  <c r="K9" i="35" l="1"/>
  <c r="K8" i="35"/>
  <c r="O8" i="72"/>
  <c r="O7" i="71"/>
  <c r="N7" i="35"/>
  <c r="O9" i="71"/>
  <c r="O7" i="74"/>
  <c r="O6" i="72"/>
  <c r="O9" i="73"/>
  <c r="N9" i="35"/>
  <c r="N8" i="35"/>
  <c r="N6" i="35"/>
  <c r="O8" i="74"/>
  <c r="O9" i="74"/>
  <c r="O6" i="74"/>
  <c r="O8" i="73"/>
  <c r="O6" i="73"/>
  <c r="O7" i="73"/>
  <c r="O7" i="72"/>
  <c r="O9" i="72"/>
  <c r="O8" i="71"/>
  <c r="O6" i="71"/>
  <c r="L44" i="82"/>
  <c r="I45" i="82"/>
  <c r="J45" i="82" s="1"/>
  <c r="L44" i="81"/>
  <c r="I45" i="81"/>
  <c r="J45" i="81" s="1"/>
  <c r="E48" i="80"/>
  <c r="K28" i="35"/>
  <c r="K15" i="35"/>
  <c r="K31" i="35"/>
  <c r="K12" i="35"/>
  <c r="G42" i="77"/>
  <c r="G42" i="76"/>
  <c r="G42" i="75"/>
  <c r="G42" i="67"/>
  <c r="G42" i="66"/>
  <c r="G43" i="65"/>
  <c r="G42" i="64"/>
  <c r="G43" i="62"/>
  <c r="G42" i="61"/>
  <c r="G42" i="60"/>
  <c r="G42" i="59"/>
  <c r="K5" i="35"/>
  <c r="K22" i="35"/>
  <c r="K6" i="35"/>
  <c r="K24" i="35"/>
  <c r="K20" i="35"/>
  <c r="K33" i="35"/>
  <c r="K21" i="35"/>
  <c r="K18" i="35"/>
  <c r="K34" i="35"/>
  <c r="K11" i="35"/>
  <c r="K27" i="35"/>
  <c r="K25" i="35"/>
  <c r="K10" i="35"/>
  <c r="K13" i="35"/>
  <c r="K29" i="35"/>
  <c r="K26" i="35"/>
  <c r="K32" i="35"/>
  <c r="K19" i="35"/>
  <c r="M3" i="35"/>
  <c r="Q31" i="1" s="1"/>
  <c r="E40" i="84" s="1"/>
  <c r="K16" i="35"/>
  <c r="K17" i="35"/>
  <c r="K14" i="35"/>
  <c r="K30" i="35"/>
  <c r="K7" i="35"/>
  <c r="K23" i="35"/>
  <c r="G42" i="34"/>
  <c r="G42" i="33"/>
  <c r="G41" i="32"/>
  <c r="G42" i="31"/>
  <c r="G41" i="29"/>
  <c r="G41" i="28"/>
  <c r="L10" i="72" l="1"/>
  <c r="O10" i="72"/>
  <c r="O6" i="35"/>
  <c r="O8" i="35"/>
  <c r="O9" i="35"/>
  <c r="O7" i="35"/>
  <c r="O10" i="74"/>
  <c r="L10" i="74"/>
  <c r="O10" i="73"/>
  <c r="L10" i="73"/>
  <c r="L10" i="71"/>
  <c r="O10" i="71"/>
  <c r="L45" i="82"/>
  <c r="I46" i="82"/>
  <c r="J46" i="82" s="1"/>
  <c r="I46" i="81"/>
  <c r="J46" i="81" s="1"/>
  <c r="L45" i="81"/>
  <c r="E49" i="80"/>
  <c r="G43" i="77"/>
  <c r="G43" i="76"/>
  <c r="G43" i="75"/>
  <c r="G43" i="67"/>
  <c r="G43" i="66"/>
  <c r="G44" i="65"/>
  <c r="G43" i="64"/>
  <c r="G44" i="62"/>
  <c r="G43" i="61"/>
  <c r="G43" i="60"/>
  <c r="G43" i="59"/>
  <c r="G43" i="34"/>
  <c r="G43" i="33"/>
  <c r="G42" i="32"/>
  <c r="G43" i="31"/>
  <c r="G42" i="29"/>
  <c r="G42" i="28"/>
  <c r="L10" i="35" l="1"/>
  <c r="O10" i="35"/>
  <c r="L46" i="82"/>
  <c r="I47" i="82"/>
  <c r="J47" i="82" s="1"/>
  <c r="L46" i="81"/>
  <c r="I47" i="81"/>
  <c r="J47" i="81" s="1"/>
  <c r="E50" i="80"/>
  <c r="G44" i="77"/>
  <c r="G44" i="76"/>
  <c r="G44" i="75"/>
  <c r="G44" i="67"/>
  <c r="G44" i="66"/>
  <c r="G45" i="65"/>
  <c r="I45" i="65" s="1"/>
  <c r="G44" i="64"/>
  <c r="G45" i="62"/>
  <c r="I45" i="62" s="1"/>
  <c r="G44" i="61"/>
  <c r="G44" i="60"/>
  <c r="G44" i="59"/>
  <c r="G44" i="34"/>
  <c r="G44" i="33"/>
  <c r="G43" i="32"/>
  <c r="G44" i="31"/>
  <c r="G43" i="29"/>
  <c r="G43" i="28"/>
  <c r="L47" i="82" l="1"/>
  <c r="I48" i="82"/>
  <c r="J48" i="82" s="1"/>
  <c r="I48" i="81"/>
  <c r="J48" i="81" s="1"/>
  <c r="L47" i="81"/>
  <c r="E51" i="80"/>
  <c r="G45" i="77"/>
  <c r="G45" i="76"/>
  <c r="G45" i="75"/>
  <c r="G45" i="67"/>
  <c r="I45" i="67" s="1"/>
  <c r="G45" i="66"/>
  <c r="I45" i="66" s="1"/>
  <c r="J43" i="65"/>
  <c r="J39" i="65"/>
  <c r="J35" i="65"/>
  <c r="J31" i="65"/>
  <c r="J27" i="65"/>
  <c r="J23" i="65"/>
  <c r="J19" i="65"/>
  <c r="J15" i="65"/>
  <c r="J11" i="65"/>
  <c r="J7" i="65"/>
  <c r="J44" i="65"/>
  <c r="J40" i="65"/>
  <c r="J36" i="65"/>
  <c r="J32" i="65"/>
  <c r="J28" i="65"/>
  <c r="J24" i="65"/>
  <c r="J20" i="65"/>
  <c r="J16" i="65"/>
  <c r="J12" i="65"/>
  <c r="J10" i="65"/>
  <c r="J6" i="65"/>
  <c r="J45" i="65"/>
  <c r="J41" i="65"/>
  <c r="J37" i="65"/>
  <c r="J33" i="65"/>
  <c r="J29" i="65"/>
  <c r="J25" i="65"/>
  <c r="J21" i="65"/>
  <c r="J17" i="65"/>
  <c r="J13" i="65"/>
  <c r="J9" i="65"/>
  <c r="J5" i="65"/>
  <c r="J4" i="65"/>
  <c r="J42" i="65"/>
  <c r="J38" i="65"/>
  <c r="J34" i="65"/>
  <c r="J30" i="65"/>
  <c r="J26" i="65"/>
  <c r="J22" i="65"/>
  <c r="J18" i="65"/>
  <c r="J14" i="65"/>
  <c r="J8" i="65"/>
  <c r="K8" i="65" s="1"/>
  <c r="I5" i="65"/>
  <c r="I6" i="65"/>
  <c r="I7" i="65"/>
  <c r="I8" i="65"/>
  <c r="I9" i="65"/>
  <c r="I10" i="65"/>
  <c r="I11" i="65"/>
  <c r="I12" i="65"/>
  <c r="I13" i="65"/>
  <c r="I14" i="65"/>
  <c r="I15" i="65"/>
  <c r="I16" i="65"/>
  <c r="I17" i="65"/>
  <c r="I18" i="65"/>
  <c r="I19" i="65"/>
  <c r="I20" i="65"/>
  <c r="I21" i="65"/>
  <c r="I22" i="65"/>
  <c r="I23" i="65"/>
  <c r="I24" i="65"/>
  <c r="I25" i="65"/>
  <c r="I26" i="65"/>
  <c r="I27" i="65"/>
  <c r="I28" i="65"/>
  <c r="I29" i="65"/>
  <c r="I30" i="65"/>
  <c r="I31" i="65"/>
  <c r="I32" i="65"/>
  <c r="I33" i="65"/>
  <c r="I34" i="65"/>
  <c r="I35" i="65"/>
  <c r="I36" i="65"/>
  <c r="I37" i="65"/>
  <c r="I38" i="65"/>
  <c r="I39" i="65"/>
  <c r="I40" i="65"/>
  <c r="I41" i="65"/>
  <c r="I42" i="65"/>
  <c r="I43" i="65"/>
  <c r="I44" i="65"/>
  <c r="G45" i="64"/>
  <c r="J43" i="62"/>
  <c r="J39" i="62"/>
  <c r="J35" i="62"/>
  <c r="J31" i="62"/>
  <c r="J27" i="62"/>
  <c r="J23" i="62"/>
  <c r="J19" i="62"/>
  <c r="J44" i="62"/>
  <c r="J40" i="62"/>
  <c r="J36" i="62"/>
  <c r="J32" i="62"/>
  <c r="J28" i="62"/>
  <c r="J24" i="62"/>
  <c r="J20" i="62"/>
  <c r="J16" i="62"/>
  <c r="J12" i="62"/>
  <c r="J10" i="62"/>
  <c r="J45" i="62"/>
  <c r="J41" i="62"/>
  <c r="J37" i="62"/>
  <c r="J33" i="62"/>
  <c r="J29" i="62"/>
  <c r="J25" i="62"/>
  <c r="J21" i="62"/>
  <c r="J17" i="62"/>
  <c r="J13" i="62"/>
  <c r="J9" i="62"/>
  <c r="J5" i="62"/>
  <c r="J4" i="62"/>
  <c r="J15" i="62"/>
  <c r="J6" i="62"/>
  <c r="J42" i="62"/>
  <c r="J38" i="62"/>
  <c r="J34" i="62"/>
  <c r="J30" i="62"/>
  <c r="J26" i="62"/>
  <c r="J22" i="62"/>
  <c r="J18" i="62"/>
  <c r="J14" i="62"/>
  <c r="J8" i="62"/>
  <c r="J11" i="62"/>
  <c r="K11" i="62" s="1"/>
  <c r="J7" i="62"/>
  <c r="I5" i="62"/>
  <c r="I6" i="62"/>
  <c r="I7" i="62"/>
  <c r="I8" i="62"/>
  <c r="I9" i="62"/>
  <c r="I10" i="62"/>
  <c r="I11" i="62"/>
  <c r="I12" i="62"/>
  <c r="I13" i="62"/>
  <c r="I14" i="62"/>
  <c r="I15" i="62"/>
  <c r="I16" i="62"/>
  <c r="I17" i="62"/>
  <c r="I18" i="62"/>
  <c r="I19" i="62"/>
  <c r="I20" i="62"/>
  <c r="I21" i="62"/>
  <c r="I22" i="62"/>
  <c r="I23" i="62"/>
  <c r="I24" i="62"/>
  <c r="I25" i="62"/>
  <c r="I26" i="62"/>
  <c r="I27" i="62"/>
  <c r="I28" i="62"/>
  <c r="I29" i="62"/>
  <c r="I30" i="62"/>
  <c r="I31" i="62"/>
  <c r="I32" i="62"/>
  <c r="I33" i="62"/>
  <c r="I34" i="62"/>
  <c r="I35" i="62"/>
  <c r="I36" i="62"/>
  <c r="I37" i="62"/>
  <c r="I38" i="62"/>
  <c r="I39" i="62"/>
  <c r="I40" i="62"/>
  <c r="I41" i="62"/>
  <c r="I42" i="62"/>
  <c r="I43" i="62"/>
  <c r="I44" i="62"/>
  <c r="G45" i="61"/>
  <c r="G45" i="60"/>
  <c r="G45" i="59"/>
  <c r="G45" i="34"/>
  <c r="G45" i="33"/>
  <c r="G44" i="32"/>
  <c r="G45" i="31"/>
  <c r="G44" i="29"/>
  <c r="G44" i="28"/>
  <c r="N6" i="62" l="1"/>
  <c r="N6" i="65"/>
  <c r="N9" i="65"/>
  <c r="N8" i="65"/>
  <c r="N7" i="65"/>
  <c r="N9" i="62"/>
  <c r="N8" i="62"/>
  <c r="N7" i="62"/>
  <c r="K18" i="62"/>
  <c r="K34" i="62"/>
  <c r="L48" i="82"/>
  <c r="I49" i="82"/>
  <c r="J49" i="82" s="1"/>
  <c r="L48" i="81"/>
  <c r="I49" i="81"/>
  <c r="J49" i="81" s="1"/>
  <c r="E52" i="80"/>
  <c r="K17" i="62"/>
  <c r="K33" i="62"/>
  <c r="K20" i="65"/>
  <c r="K36" i="65"/>
  <c r="K7" i="62"/>
  <c r="K20" i="62"/>
  <c r="K36" i="62"/>
  <c r="K26" i="65"/>
  <c r="K42" i="65"/>
  <c r="K13" i="65"/>
  <c r="K29" i="65"/>
  <c r="K45" i="65"/>
  <c r="K26" i="62"/>
  <c r="K42" i="62"/>
  <c r="K21" i="62"/>
  <c r="K37" i="62"/>
  <c r="K24" i="62"/>
  <c r="K40" i="62"/>
  <c r="K14" i="65"/>
  <c r="K30" i="65"/>
  <c r="K17" i="65"/>
  <c r="K33" i="65"/>
  <c r="K24" i="65"/>
  <c r="K40" i="65"/>
  <c r="G46" i="77"/>
  <c r="G46" i="76"/>
  <c r="G46" i="75"/>
  <c r="J43" i="67"/>
  <c r="J39" i="67"/>
  <c r="J35" i="67"/>
  <c r="J31" i="67"/>
  <c r="J27" i="67"/>
  <c r="J23" i="67"/>
  <c r="J19" i="67"/>
  <c r="J15" i="67"/>
  <c r="J11" i="67"/>
  <c r="J7" i="67"/>
  <c r="J44" i="67"/>
  <c r="J40" i="67"/>
  <c r="J36" i="67"/>
  <c r="J32" i="67"/>
  <c r="J28" i="67"/>
  <c r="J24" i="67"/>
  <c r="J20" i="67"/>
  <c r="J16" i="67"/>
  <c r="J12" i="67"/>
  <c r="J10" i="67"/>
  <c r="J6" i="67"/>
  <c r="J45" i="67"/>
  <c r="J41" i="67"/>
  <c r="J37" i="67"/>
  <c r="J33" i="67"/>
  <c r="J29" i="67"/>
  <c r="J25" i="67"/>
  <c r="J21" i="67"/>
  <c r="J17" i="67"/>
  <c r="J13" i="67"/>
  <c r="J9" i="67"/>
  <c r="J5" i="67"/>
  <c r="J4" i="67"/>
  <c r="J42" i="67"/>
  <c r="J38" i="67"/>
  <c r="J34" i="67"/>
  <c r="J30" i="67"/>
  <c r="J26" i="67"/>
  <c r="J22" i="67"/>
  <c r="J18" i="67"/>
  <c r="J14" i="67"/>
  <c r="J8" i="67"/>
  <c r="I5" i="67"/>
  <c r="I6" i="67"/>
  <c r="I7" i="67"/>
  <c r="I8" i="67"/>
  <c r="I9" i="67"/>
  <c r="I10" i="67"/>
  <c r="I11" i="67"/>
  <c r="I12" i="67"/>
  <c r="I13" i="67"/>
  <c r="I14" i="67"/>
  <c r="I15" i="67"/>
  <c r="I16" i="67"/>
  <c r="I17" i="67"/>
  <c r="I18" i="67"/>
  <c r="I19" i="67"/>
  <c r="I20" i="67"/>
  <c r="I21" i="67"/>
  <c r="I22" i="67"/>
  <c r="I23" i="67"/>
  <c r="I24" i="67"/>
  <c r="I25" i="67"/>
  <c r="I26" i="67"/>
  <c r="I27" i="67"/>
  <c r="I28" i="67"/>
  <c r="I29" i="67"/>
  <c r="I30" i="67"/>
  <c r="I31" i="67"/>
  <c r="I32" i="67"/>
  <c r="I33" i="67"/>
  <c r="I34" i="67"/>
  <c r="I35" i="67"/>
  <c r="I36" i="67"/>
  <c r="I37" i="67"/>
  <c r="I38" i="67"/>
  <c r="I39" i="67"/>
  <c r="I40" i="67"/>
  <c r="I41" i="67"/>
  <c r="I42" i="67"/>
  <c r="I43" i="67"/>
  <c r="I44" i="67"/>
  <c r="J43" i="66"/>
  <c r="J39" i="66"/>
  <c r="J35" i="66"/>
  <c r="J31" i="66"/>
  <c r="J27" i="66"/>
  <c r="J23" i="66"/>
  <c r="J19" i="66"/>
  <c r="J15" i="66"/>
  <c r="J11" i="66"/>
  <c r="J7" i="66"/>
  <c r="J44" i="66"/>
  <c r="J40" i="66"/>
  <c r="J36" i="66"/>
  <c r="J32" i="66"/>
  <c r="J28" i="66"/>
  <c r="J24" i="66"/>
  <c r="J20" i="66"/>
  <c r="J16" i="66"/>
  <c r="J12" i="66"/>
  <c r="J10" i="66"/>
  <c r="J6" i="66"/>
  <c r="J45" i="66"/>
  <c r="J41" i="66"/>
  <c r="J37" i="66"/>
  <c r="J33" i="66"/>
  <c r="J29" i="66"/>
  <c r="J25" i="66"/>
  <c r="J21" i="66"/>
  <c r="J17" i="66"/>
  <c r="J13" i="66"/>
  <c r="J9" i="66"/>
  <c r="J5" i="66"/>
  <c r="J4" i="66"/>
  <c r="J42" i="66"/>
  <c r="J38" i="66"/>
  <c r="J34" i="66"/>
  <c r="J30" i="66"/>
  <c r="J26" i="66"/>
  <c r="J22" i="66"/>
  <c r="J18" i="66"/>
  <c r="J14" i="66"/>
  <c r="J8" i="66"/>
  <c r="K8" i="66" s="1"/>
  <c r="I5" i="66"/>
  <c r="I6" i="66"/>
  <c r="I7" i="66"/>
  <c r="I8" i="66"/>
  <c r="I9" i="66"/>
  <c r="I10" i="66"/>
  <c r="I11" i="66"/>
  <c r="I12" i="66"/>
  <c r="I13" i="66"/>
  <c r="I14" i="66"/>
  <c r="I15" i="66"/>
  <c r="I16" i="66"/>
  <c r="I17" i="66"/>
  <c r="I18" i="66"/>
  <c r="I19" i="66"/>
  <c r="I20" i="66"/>
  <c r="I21" i="66"/>
  <c r="I22" i="66"/>
  <c r="I23" i="66"/>
  <c r="I24" i="66"/>
  <c r="I25" i="66"/>
  <c r="I26" i="66"/>
  <c r="I27" i="66"/>
  <c r="I28" i="66"/>
  <c r="I29" i="66"/>
  <c r="I30" i="66"/>
  <c r="I31" i="66"/>
  <c r="I32" i="66"/>
  <c r="I33" i="66"/>
  <c r="I34" i="66"/>
  <c r="I35" i="66"/>
  <c r="I36" i="66"/>
  <c r="I37" i="66"/>
  <c r="I38" i="66"/>
  <c r="I39" i="66"/>
  <c r="I40" i="66"/>
  <c r="I41" i="66"/>
  <c r="I42" i="66"/>
  <c r="I43" i="66"/>
  <c r="I44" i="66"/>
  <c r="K11" i="65"/>
  <c r="K16" i="65"/>
  <c r="K32" i="65"/>
  <c r="K22" i="65"/>
  <c r="K38" i="65"/>
  <c r="K25" i="65"/>
  <c r="K41" i="65"/>
  <c r="K44" i="65"/>
  <c r="K18" i="65"/>
  <c r="K34" i="65"/>
  <c r="K21" i="65"/>
  <c r="K37" i="65"/>
  <c r="K6" i="65"/>
  <c r="K27" i="65"/>
  <c r="K43" i="65"/>
  <c r="K7" i="65"/>
  <c r="K23" i="65"/>
  <c r="K39" i="65"/>
  <c r="M3" i="65"/>
  <c r="Q23" i="1" s="1"/>
  <c r="K9" i="65"/>
  <c r="K12" i="65"/>
  <c r="K28" i="65"/>
  <c r="K19" i="65"/>
  <c r="K35" i="65"/>
  <c r="K5" i="65"/>
  <c r="K10" i="65"/>
  <c r="K15" i="65"/>
  <c r="K31" i="65"/>
  <c r="G46" i="64"/>
  <c r="K14" i="62"/>
  <c r="K30" i="62"/>
  <c r="K22" i="62"/>
  <c r="K38" i="62"/>
  <c r="K13" i="62"/>
  <c r="K29" i="62"/>
  <c r="K45" i="62"/>
  <c r="K6" i="62"/>
  <c r="K25" i="62"/>
  <c r="K32" i="62"/>
  <c r="K41" i="62"/>
  <c r="K10" i="62"/>
  <c r="K27" i="62"/>
  <c r="K43" i="62"/>
  <c r="K15" i="62"/>
  <c r="K23" i="62"/>
  <c r="K39" i="62"/>
  <c r="M3" i="62"/>
  <c r="Q22" i="1" s="1"/>
  <c r="K9" i="62"/>
  <c r="K16" i="62"/>
  <c r="K19" i="62"/>
  <c r="K35" i="62"/>
  <c r="K8" i="62"/>
  <c r="K5" i="62"/>
  <c r="K12" i="62"/>
  <c r="K28" i="62"/>
  <c r="K44" i="62"/>
  <c r="K31" i="62"/>
  <c r="G46" i="61"/>
  <c r="G46" i="60"/>
  <c r="G46" i="59"/>
  <c r="G46" i="34"/>
  <c r="G45" i="32"/>
  <c r="G46" i="31"/>
  <c r="G45" i="29"/>
  <c r="G45" i="28"/>
  <c r="O9" i="62" l="1"/>
  <c r="N7" i="66"/>
  <c r="O7" i="65"/>
  <c r="N6" i="67"/>
  <c r="N9" i="67"/>
  <c r="N8" i="67"/>
  <c r="N7" i="67"/>
  <c r="K26" i="67"/>
  <c r="K42" i="67"/>
  <c r="K13" i="67"/>
  <c r="K29" i="67"/>
  <c r="K45" i="67"/>
  <c r="N9" i="66"/>
  <c r="N8" i="66"/>
  <c r="N6" i="66"/>
  <c r="O8" i="65"/>
  <c r="O9" i="65"/>
  <c r="O6" i="65"/>
  <c r="O6" i="62"/>
  <c r="O7" i="62"/>
  <c r="O8" i="62"/>
  <c r="L49" i="82"/>
  <c r="I50" i="82"/>
  <c r="J50" i="82" s="1"/>
  <c r="L49" i="81"/>
  <c r="I50" i="81"/>
  <c r="J50" i="81" s="1"/>
  <c r="E53" i="80"/>
  <c r="K20" i="67"/>
  <c r="K8" i="67"/>
  <c r="K36" i="67"/>
  <c r="K14" i="66"/>
  <c r="K30" i="66"/>
  <c r="K17" i="66"/>
  <c r="K33" i="66"/>
  <c r="K14" i="67"/>
  <c r="K30" i="67"/>
  <c r="K17" i="67"/>
  <c r="K33" i="67"/>
  <c r="K20" i="66"/>
  <c r="K36" i="66"/>
  <c r="K26" i="66"/>
  <c r="K42" i="66"/>
  <c r="K13" i="66"/>
  <c r="K29" i="66"/>
  <c r="K45" i="66"/>
  <c r="G47" i="77"/>
  <c r="G47" i="76"/>
  <c r="G47" i="75"/>
  <c r="K12" i="67"/>
  <c r="K28" i="67"/>
  <c r="K44" i="67"/>
  <c r="K18" i="67"/>
  <c r="K34" i="67"/>
  <c r="K5" i="67"/>
  <c r="K21" i="67"/>
  <c r="K37" i="67"/>
  <c r="K10" i="67"/>
  <c r="K24" i="67"/>
  <c r="K40" i="67"/>
  <c r="K15" i="67"/>
  <c r="K31" i="67"/>
  <c r="K6" i="67"/>
  <c r="K11" i="67"/>
  <c r="K27" i="67"/>
  <c r="K43" i="67"/>
  <c r="K16" i="67"/>
  <c r="K32" i="67"/>
  <c r="K7" i="67"/>
  <c r="K23" i="67"/>
  <c r="K39" i="67"/>
  <c r="M3" i="67"/>
  <c r="Q25" i="1" s="1"/>
  <c r="K22" i="67"/>
  <c r="K38" i="67"/>
  <c r="K9" i="67"/>
  <c r="K25" i="67"/>
  <c r="K41" i="67"/>
  <c r="K19" i="67"/>
  <c r="K35" i="67"/>
  <c r="K24" i="66"/>
  <c r="K40" i="66"/>
  <c r="K12" i="66"/>
  <c r="K28" i="66"/>
  <c r="K44" i="66"/>
  <c r="K18" i="66"/>
  <c r="K34" i="66"/>
  <c r="K5" i="66"/>
  <c r="K21" i="66"/>
  <c r="K37" i="66"/>
  <c r="K10" i="66"/>
  <c r="K15" i="66"/>
  <c r="K31" i="66"/>
  <c r="K6" i="66"/>
  <c r="K11" i="66"/>
  <c r="K27" i="66"/>
  <c r="K43" i="66"/>
  <c r="K16" i="66"/>
  <c r="K32" i="66"/>
  <c r="K7" i="66"/>
  <c r="K23" i="66"/>
  <c r="K39" i="66"/>
  <c r="M3" i="66"/>
  <c r="Q24" i="1" s="1"/>
  <c r="K22" i="66"/>
  <c r="K38" i="66"/>
  <c r="K9" i="66"/>
  <c r="K25" i="66"/>
  <c r="K41" i="66"/>
  <c r="K19" i="66"/>
  <c r="K35" i="66"/>
  <c r="G47" i="64"/>
  <c r="G47" i="61"/>
  <c r="G47" i="60"/>
  <c r="G47" i="59"/>
  <c r="G47" i="34"/>
  <c r="G46" i="32"/>
  <c r="G47" i="31"/>
  <c r="G46" i="29"/>
  <c r="G46" i="28"/>
  <c r="O6" i="66" l="1"/>
  <c r="O7" i="67"/>
  <c r="O8" i="67"/>
  <c r="O9" i="67"/>
  <c r="O6" i="67"/>
  <c r="O7" i="66"/>
  <c r="O8" i="66"/>
  <c r="O9" i="66"/>
  <c r="O10" i="65"/>
  <c r="L10" i="65"/>
  <c r="L10" i="62"/>
  <c r="O10" i="62"/>
  <c r="I51" i="82"/>
  <c r="J51" i="82" s="1"/>
  <c r="L50" i="82"/>
  <c r="L50" i="81"/>
  <c r="I51" i="81"/>
  <c r="J51" i="81" s="1"/>
  <c r="E54" i="80"/>
  <c r="G48" i="77"/>
  <c r="G48" i="76"/>
  <c r="G48" i="75"/>
  <c r="G48" i="64"/>
  <c r="G48" i="61"/>
  <c r="G48" i="60"/>
  <c r="G48" i="59"/>
  <c r="G48" i="34"/>
  <c r="G47" i="32"/>
  <c r="G48" i="31"/>
  <c r="G47" i="29"/>
  <c r="G47" i="28"/>
  <c r="L10" i="66" l="1"/>
  <c r="L10" i="67"/>
  <c r="O10" i="67"/>
  <c r="O10" i="66"/>
  <c r="L51" i="82"/>
  <c r="I52" i="82"/>
  <c r="J52" i="82" s="1"/>
  <c r="L51" i="81"/>
  <c r="I52" i="81"/>
  <c r="J52" i="81" s="1"/>
  <c r="E55" i="80"/>
  <c r="G49" i="77"/>
  <c r="G49" i="76"/>
  <c r="G49" i="75"/>
  <c r="G49" i="64"/>
  <c r="G49" i="61"/>
  <c r="G49" i="60"/>
  <c r="G49" i="59"/>
  <c r="G49" i="34"/>
  <c r="G48" i="32"/>
  <c r="G49" i="31"/>
  <c r="G48" i="29"/>
  <c r="G48" i="28"/>
  <c r="L52" i="82" l="1"/>
  <c r="I53" i="82"/>
  <c r="J53" i="82" s="1"/>
  <c r="L52" i="81"/>
  <c r="I53" i="81"/>
  <c r="J53" i="81" s="1"/>
  <c r="E56" i="80"/>
  <c r="G50" i="77"/>
  <c r="G50" i="76"/>
  <c r="G50" i="75"/>
  <c r="G50" i="64"/>
  <c r="G50" i="61"/>
  <c r="I50" i="61" s="1"/>
  <c r="G50" i="60"/>
  <c r="I50" i="60" s="1"/>
  <c r="G50" i="59"/>
  <c r="G50" i="34"/>
  <c r="G49" i="32"/>
  <c r="G50" i="31"/>
  <c r="G49" i="29"/>
  <c r="G49" i="28"/>
  <c r="L53" i="82" l="1"/>
  <c r="I54" i="82"/>
  <c r="J54" i="82" s="1"/>
  <c r="L53" i="81"/>
  <c r="I54" i="81"/>
  <c r="J54" i="81" s="1"/>
  <c r="E57" i="80"/>
  <c r="G51" i="77"/>
  <c r="G51" i="76"/>
  <c r="G51" i="75"/>
  <c r="J4" i="64"/>
  <c r="J48" i="61"/>
  <c r="J44" i="61"/>
  <c r="J40" i="61"/>
  <c r="J36" i="61"/>
  <c r="J28" i="61"/>
  <c r="J24" i="61"/>
  <c r="J20" i="61"/>
  <c r="J6" i="61"/>
  <c r="J49" i="61"/>
  <c r="J45" i="61"/>
  <c r="J41" i="61"/>
  <c r="K41" i="61" s="1"/>
  <c r="J37" i="61"/>
  <c r="K37" i="61" s="1"/>
  <c r="J33" i="61"/>
  <c r="J29" i="61"/>
  <c r="J25" i="61"/>
  <c r="J21" i="61"/>
  <c r="J13" i="61"/>
  <c r="J9" i="61"/>
  <c r="J50" i="61"/>
  <c r="J46" i="61"/>
  <c r="J42" i="61"/>
  <c r="J38" i="61"/>
  <c r="J34" i="61"/>
  <c r="J30" i="61"/>
  <c r="J26" i="61"/>
  <c r="J22" i="61"/>
  <c r="J18" i="61"/>
  <c r="J14" i="61"/>
  <c r="J8" i="61"/>
  <c r="J10" i="61"/>
  <c r="J47" i="61"/>
  <c r="J43" i="61"/>
  <c r="J39" i="61"/>
  <c r="J35" i="61"/>
  <c r="J31" i="61"/>
  <c r="J27" i="61"/>
  <c r="J23" i="61"/>
  <c r="J19" i="61"/>
  <c r="J15" i="61"/>
  <c r="J11" i="61"/>
  <c r="J7" i="61"/>
  <c r="J32" i="61"/>
  <c r="J16" i="61"/>
  <c r="K16" i="61" s="1"/>
  <c r="J12" i="61"/>
  <c r="J17" i="61"/>
  <c r="J5" i="61"/>
  <c r="J4" i="61"/>
  <c r="I5" i="61"/>
  <c r="I6" i="61"/>
  <c r="I7" i="61"/>
  <c r="I8" i="61"/>
  <c r="I9" i="61"/>
  <c r="I10" i="61"/>
  <c r="I11" i="61"/>
  <c r="I12" i="61"/>
  <c r="I13" i="61"/>
  <c r="I14" i="61"/>
  <c r="I15" i="61"/>
  <c r="I16" i="61"/>
  <c r="I17" i="61"/>
  <c r="I18" i="61"/>
  <c r="I19" i="61"/>
  <c r="I20" i="61"/>
  <c r="I21" i="61"/>
  <c r="I22" i="61"/>
  <c r="I23" i="61"/>
  <c r="I24" i="61"/>
  <c r="I25" i="61"/>
  <c r="I26" i="61"/>
  <c r="I27" i="61"/>
  <c r="I28" i="61"/>
  <c r="I29" i="61"/>
  <c r="I30" i="61"/>
  <c r="I31" i="61"/>
  <c r="I32" i="61"/>
  <c r="I33" i="61"/>
  <c r="I34" i="61"/>
  <c r="I35" i="61"/>
  <c r="I36" i="61"/>
  <c r="I37" i="61"/>
  <c r="I38" i="61"/>
  <c r="I39" i="61"/>
  <c r="I40" i="61"/>
  <c r="I41" i="61"/>
  <c r="I42" i="61"/>
  <c r="I43" i="61"/>
  <c r="I44" i="61"/>
  <c r="I45" i="61"/>
  <c r="I46" i="61"/>
  <c r="I47" i="61"/>
  <c r="I48" i="61"/>
  <c r="I49" i="61"/>
  <c r="J48" i="60"/>
  <c r="J44" i="60"/>
  <c r="J40" i="60"/>
  <c r="J36" i="60"/>
  <c r="J32" i="60"/>
  <c r="J24" i="60"/>
  <c r="J20" i="60"/>
  <c r="J12" i="60"/>
  <c r="J10" i="60"/>
  <c r="J6" i="60"/>
  <c r="J49" i="60"/>
  <c r="J45" i="60"/>
  <c r="J41" i="60"/>
  <c r="J37" i="60"/>
  <c r="J33" i="60"/>
  <c r="J29" i="60"/>
  <c r="J25" i="60"/>
  <c r="J21" i="60"/>
  <c r="J17" i="60"/>
  <c r="J9" i="60"/>
  <c r="J50" i="60"/>
  <c r="J46" i="60"/>
  <c r="J42" i="60"/>
  <c r="J38" i="60"/>
  <c r="J34" i="60"/>
  <c r="J30" i="60"/>
  <c r="J26" i="60"/>
  <c r="J22" i="60"/>
  <c r="J18" i="60"/>
  <c r="J14" i="60"/>
  <c r="J8" i="60"/>
  <c r="J47" i="60"/>
  <c r="J43" i="60"/>
  <c r="J39" i="60"/>
  <c r="J35" i="60"/>
  <c r="J31" i="60"/>
  <c r="J27" i="60"/>
  <c r="J23" i="60"/>
  <c r="J19" i="60"/>
  <c r="J15" i="60"/>
  <c r="J11" i="60"/>
  <c r="K11" i="60" s="1"/>
  <c r="J7" i="60"/>
  <c r="K7" i="60" s="1"/>
  <c r="J28" i="60"/>
  <c r="J16" i="60"/>
  <c r="K16" i="60" s="1"/>
  <c r="J13" i="60"/>
  <c r="J5" i="60"/>
  <c r="J4" i="60"/>
  <c r="I5" i="60"/>
  <c r="I6" i="60"/>
  <c r="I7" i="60"/>
  <c r="I8" i="60"/>
  <c r="I9" i="60"/>
  <c r="I10" i="60"/>
  <c r="I11" i="60"/>
  <c r="I12" i="60"/>
  <c r="I13" i="60"/>
  <c r="I14" i="60"/>
  <c r="I15" i="60"/>
  <c r="I16" i="60"/>
  <c r="I17" i="60"/>
  <c r="I18" i="60"/>
  <c r="I19" i="60"/>
  <c r="I20" i="60"/>
  <c r="I21" i="60"/>
  <c r="I22" i="60"/>
  <c r="I23" i="60"/>
  <c r="I24" i="60"/>
  <c r="I25" i="60"/>
  <c r="I26" i="60"/>
  <c r="I27" i="60"/>
  <c r="I28" i="60"/>
  <c r="I29" i="60"/>
  <c r="I30" i="60"/>
  <c r="I31" i="60"/>
  <c r="I32" i="60"/>
  <c r="I33" i="60"/>
  <c r="I34" i="60"/>
  <c r="I35" i="60"/>
  <c r="I36" i="60"/>
  <c r="I37" i="60"/>
  <c r="I38" i="60"/>
  <c r="I39" i="60"/>
  <c r="I40" i="60"/>
  <c r="I41" i="60"/>
  <c r="I42" i="60"/>
  <c r="I43" i="60"/>
  <c r="I44" i="60"/>
  <c r="I45" i="60"/>
  <c r="I46" i="60"/>
  <c r="I47" i="60"/>
  <c r="I48" i="60"/>
  <c r="I49" i="60"/>
  <c r="G51" i="59"/>
  <c r="G51" i="32"/>
  <c r="G51" i="34"/>
  <c r="J43" i="33"/>
  <c r="J39" i="33"/>
  <c r="J35" i="33"/>
  <c r="J31" i="33"/>
  <c r="J27" i="33"/>
  <c r="J23" i="33"/>
  <c r="J19" i="33"/>
  <c r="J15" i="33"/>
  <c r="J11" i="33"/>
  <c r="J42" i="33"/>
  <c r="J38" i="33"/>
  <c r="J34" i="33"/>
  <c r="J30" i="33"/>
  <c r="J26" i="33"/>
  <c r="J22" i="33"/>
  <c r="J18" i="33"/>
  <c r="J14" i="33"/>
  <c r="J44" i="33"/>
  <c r="J40" i="33"/>
  <c r="J36" i="33"/>
  <c r="J5" i="33"/>
  <c r="J4" i="33"/>
  <c r="J37" i="33"/>
  <c r="J32" i="33"/>
  <c r="K32" i="33" s="1"/>
  <c r="J33" i="33"/>
  <c r="J29" i="33"/>
  <c r="J25" i="33"/>
  <c r="J21" i="33"/>
  <c r="J17" i="33"/>
  <c r="J13" i="33"/>
  <c r="J10" i="33"/>
  <c r="J9" i="33"/>
  <c r="J6" i="33"/>
  <c r="K6" i="33" s="1"/>
  <c r="J7" i="33"/>
  <c r="J45" i="33"/>
  <c r="J41" i="33"/>
  <c r="J28" i="33"/>
  <c r="K28" i="33" s="1"/>
  <c r="J24" i="33"/>
  <c r="K24" i="33" s="1"/>
  <c r="J20" i="33"/>
  <c r="K20" i="33" s="1"/>
  <c r="J16" i="33"/>
  <c r="K16" i="33" s="1"/>
  <c r="J12" i="33"/>
  <c r="K12" i="33" s="1"/>
  <c r="J8" i="33"/>
  <c r="I5" i="33"/>
  <c r="I6" i="33"/>
  <c r="I7" i="33"/>
  <c r="I8" i="33"/>
  <c r="I9" i="33"/>
  <c r="I10" i="33"/>
  <c r="I11" i="33"/>
  <c r="I12" i="33"/>
  <c r="I13" i="33"/>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G50" i="32"/>
  <c r="G51" i="31"/>
  <c r="G50" i="29"/>
  <c r="G50" i="28"/>
  <c r="K49" i="61" l="1"/>
  <c r="M3" i="60"/>
  <c r="Q18" i="1" s="1"/>
  <c r="M3" i="61"/>
  <c r="Q19" i="1" s="1"/>
  <c r="K12" i="61"/>
  <c r="K10" i="61"/>
  <c r="J36" i="64"/>
  <c r="N7" i="61"/>
  <c r="N6" i="33"/>
  <c r="N9" i="33"/>
  <c r="N8" i="33"/>
  <c r="N7" i="33"/>
  <c r="N9" i="61"/>
  <c r="N8" i="61"/>
  <c r="N6" i="61"/>
  <c r="N9" i="60"/>
  <c r="N8" i="60"/>
  <c r="N7" i="60"/>
  <c r="N6" i="60"/>
  <c r="I55" i="82"/>
  <c r="J55" i="82" s="1"/>
  <c r="L54" i="82"/>
  <c r="L54" i="81"/>
  <c r="I55" i="81"/>
  <c r="J55" i="81" s="1"/>
  <c r="E58" i="80"/>
  <c r="J47" i="64"/>
  <c r="J40" i="64"/>
  <c r="J35" i="64"/>
  <c r="J28" i="64"/>
  <c r="J21" i="64"/>
  <c r="J25" i="64"/>
  <c r="J17" i="64"/>
  <c r="K36" i="33"/>
  <c r="K29" i="61"/>
  <c r="J41" i="64"/>
  <c r="K41" i="64" s="1"/>
  <c r="J38" i="64"/>
  <c r="J33" i="64"/>
  <c r="J30" i="64"/>
  <c r="J26" i="64"/>
  <c r="K26" i="64" s="1"/>
  <c r="J24" i="64"/>
  <c r="J20" i="64"/>
  <c r="J14" i="64"/>
  <c r="J48" i="64"/>
  <c r="J42" i="64"/>
  <c r="J34" i="64"/>
  <c r="K34" i="64" s="1"/>
  <c r="J32" i="64"/>
  <c r="J29" i="64"/>
  <c r="J23" i="64"/>
  <c r="J19" i="64"/>
  <c r="J16" i="64"/>
  <c r="J45" i="64"/>
  <c r="J44" i="64"/>
  <c r="J39" i="64"/>
  <c r="J37" i="64"/>
  <c r="J31" i="64"/>
  <c r="J27" i="64"/>
  <c r="J22" i="64"/>
  <c r="J18" i="64"/>
  <c r="J15" i="64"/>
  <c r="K7" i="61"/>
  <c r="J12" i="64"/>
  <c r="J13" i="64"/>
  <c r="K14" i="64" s="1"/>
  <c r="K5" i="60"/>
  <c r="K21" i="60"/>
  <c r="K5" i="61"/>
  <c r="K32" i="61"/>
  <c r="K19" i="61"/>
  <c r="K35" i="61"/>
  <c r="M3" i="33"/>
  <c r="Q21" i="1" s="1"/>
  <c r="K40" i="33"/>
  <c r="K27" i="60"/>
  <c r="K43" i="60"/>
  <c r="K18" i="60"/>
  <c r="K34" i="60"/>
  <c r="K50" i="60"/>
  <c r="K41" i="60"/>
  <c r="K17" i="61"/>
  <c r="K26" i="61"/>
  <c r="K42" i="61"/>
  <c r="J11" i="64"/>
  <c r="G52" i="77"/>
  <c r="G52" i="76"/>
  <c r="G52" i="75"/>
  <c r="J9" i="64"/>
  <c r="J8" i="64"/>
  <c r="J10" i="64"/>
  <c r="J6" i="64"/>
  <c r="J7" i="64"/>
  <c r="J49" i="64"/>
  <c r="J5" i="64"/>
  <c r="K5" i="64" s="1"/>
  <c r="J50" i="64"/>
  <c r="I5" i="64"/>
  <c r="I6" i="64"/>
  <c r="I7" i="64"/>
  <c r="I8" i="64"/>
  <c r="I9" i="64"/>
  <c r="I10" i="64"/>
  <c r="I11" i="64"/>
  <c r="I12" i="64"/>
  <c r="I13" i="64"/>
  <c r="I14" i="64"/>
  <c r="I15" i="64"/>
  <c r="I16" i="64"/>
  <c r="I17" i="64"/>
  <c r="I18" i="64"/>
  <c r="I19" i="64"/>
  <c r="I20" i="64"/>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J46" i="64"/>
  <c r="I50" i="64"/>
  <c r="J43" i="64"/>
  <c r="K22" i="61"/>
  <c r="K38" i="61"/>
  <c r="K15" i="61"/>
  <c r="K31" i="61"/>
  <c r="K47" i="61"/>
  <c r="K34" i="61"/>
  <c r="K50" i="61"/>
  <c r="K45" i="61"/>
  <c r="K23" i="61"/>
  <c r="K39" i="61"/>
  <c r="K25" i="61"/>
  <c r="K11" i="61"/>
  <c r="K27" i="61"/>
  <c r="K43" i="61"/>
  <c r="K14" i="61"/>
  <c r="K30" i="61"/>
  <c r="K46" i="61"/>
  <c r="K21" i="61"/>
  <c r="K8" i="61"/>
  <c r="K13" i="61"/>
  <c r="K33" i="61"/>
  <c r="K28" i="61"/>
  <c r="K48" i="61"/>
  <c r="K9" i="61"/>
  <c r="K24" i="61"/>
  <c r="K44" i="61"/>
  <c r="K18" i="61"/>
  <c r="K20" i="61"/>
  <c r="K40" i="61"/>
  <c r="K6" i="61"/>
  <c r="K36" i="61"/>
  <c r="K25" i="60"/>
  <c r="K28" i="60"/>
  <c r="K19" i="60"/>
  <c r="K35" i="60"/>
  <c r="K15" i="60"/>
  <c r="K31" i="60"/>
  <c r="K47" i="60"/>
  <c r="K22" i="60"/>
  <c r="K38" i="60"/>
  <c r="K45" i="60"/>
  <c r="K33" i="60"/>
  <c r="K49" i="60"/>
  <c r="K9" i="60"/>
  <c r="K29" i="60"/>
  <c r="K12" i="60"/>
  <c r="K36" i="60"/>
  <c r="K13" i="60"/>
  <c r="K10" i="60"/>
  <c r="K32" i="60"/>
  <c r="K48" i="60"/>
  <c r="K23" i="60"/>
  <c r="K39" i="60"/>
  <c r="K14" i="60"/>
  <c r="K30" i="60"/>
  <c r="K46" i="60"/>
  <c r="K37" i="60"/>
  <c r="K6" i="60"/>
  <c r="K24" i="60"/>
  <c r="K44" i="60"/>
  <c r="K8" i="60"/>
  <c r="K26" i="60"/>
  <c r="K42" i="60"/>
  <c r="K17" i="60"/>
  <c r="K20" i="60"/>
  <c r="K40" i="60"/>
  <c r="G52" i="59"/>
  <c r="G52" i="32"/>
  <c r="K44" i="33"/>
  <c r="G52" i="34"/>
  <c r="K7" i="33"/>
  <c r="K10" i="33"/>
  <c r="K37" i="33"/>
  <c r="K27" i="33"/>
  <c r="K22" i="33"/>
  <c r="K38" i="33"/>
  <c r="K11" i="33"/>
  <c r="K43" i="33"/>
  <c r="K41" i="33"/>
  <c r="K33" i="33"/>
  <c r="K29" i="33"/>
  <c r="K45" i="33"/>
  <c r="K9" i="33"/>
  <c r="K21" i="33"/>
  <c r="K14" i="33"/>
  <c r="K30" i="33"/>
  <c r="K19" i="33"/>
  <c r="K35" i="33"/>
  <c r="K8" i="33"/>
  <c r="K25" i="33"/>
  <c r="K18" i="33"/>
  <c r="K34" i="33"/>
  <c r="K23" i="33"/>
  <c r="K39" i="33"/>
  <c r="K13" i="33"/>
  <c r="K17" i="33"/>
  <c r="K5" i="33"/>
  <c r="K26" i="33"/>
  <c r="K42" i="33"/>
  <c r="K15" i="33"/>
  <c r="K31" i="33"/>
  <c r="G52" i="31"/>
  <c r="J39" i="30"/>
  <c r="J35" i="30"/>
  <c r="J31" i="30"/>
  <c r="J27" i="30"/>
  <c r="J23" i="30"/>
  <c r="J19" i="30"/>
  <c r="J15" i="30"/>
  <c r="J11" i="30"/>
  <c r="J37" i="30"/>
  <c r="J33" i="30"/>
  <c r="J29" i="30"/>
  <c r="J25" i="30"/>
  <c r="J21" i="30"/>
  <c r="J17" i="30"/>
  <c r="J13" i="30"/>
  <c r="J9" i="30"/>
  <c r="J10" i="30"/>
  <c r="J6" i="30"/>
  <c r="J36" i="30"/>
  <c r="J32" i="30"/>
  <c r="J28" i="30"/>
  <c r="J24" i="30"/>
  <c r="J20" i="30"/>
  <c r="J16" i="30"/>
  <c r="J12" i="30"/>
  <c r="J7" i="30"/>
  <c r="K7" i="30" s="1"/>
  <c r="J34" i="30"/>
  <c r="J30" i="30"/>
  <c r="J26" i="30"/>
  <c r="J5" i="30"/>
  <c r="J4" i="30"/>
  <c r="J8" i="30"/>
  <c r="J38" i="30"/>
  <c r="J22" i="30"/>
  <c r="J18" i="30"/>
  <c r="J1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G51" i="28"/>
  <c r="K37" i="64" l="1"/>
  <c r="M3" i="64"/>
  <c r="Q20" i="1" s="1"/>
  <c r="K36" i="64"/>
  <c r="K16" i="64"/>
  <c r="K32" i="64"/>
  <c r="K48" i="64"/>
  <c r="O9" i="60"/>
  <c r="N6" i="30"/>
  <c r="K25" i="64"/>
  <c r="N7" i="64"/>
  <c r="K28" i="64"/>
  <c r="O8" i="61"/>
  <c r="O9" i="33"/>
  <c r="N9" i="30"/>
  <c r="N8" i="30"/>
  <c r="N7" i="30"/>
  <c r="O7" i="33"/>
  <c r="O8" i="33"/>
  <c r="O6" i="33"/>
  <c r="N9" i="64"/>
  <c r="N8" i="64"/>
  <c r="K15" i="64"/>
  <c r="K46" i="64"/>
  <c r="K22" i="64"/>
  <c r="K40" i="64"/>
  <c r="K21" i="64"/>
  <c r="K33" i="64"/>
  <c r="N6" i="64"/>
  <c r="K42" i="64"/>
  <c r="K38" i="64"/>
  <c r="K17" i="64"/>
  <c r="O9" i="61"/>
  <c r="O6" i="61"/>
  <c r="O7" i="61"/>
  <c r="O6" i="60"/>
  <c r="O8" i="60"/>
  <c r="O7" i="60"/>
  <c r="L55" i="82"/>
  <c r="I56" i="82"/>
  <c r="J56" i="82" s="1"/>
  <c r="L55" i="81"/>
  <c r="I56" i="81"/>
  <c r="J56" i="81" s="1"/>
  <c r="E59" i="80"/>
  <c r="K24" i="64"/>
  <c r="K43" i="64"/>
  <c r="K18" i="64"/>
  <c r="K29" i="64"/>
  <c r="K39" i="64"/>
  <c r="K8" i="64"/>
  <c r="K20" i="64"/>
  <c r="K45" i="64"/>
  <c r="K23" i="64"/>
  <c r="K35" i="64"/>
  <c r="K27" i="64"/>
  <c r="K30" i="64"/>
  <c r="K12" i="64"/>
  <c r="K49" i="64"/>
  <c r="K31" i="64"/>
  <c r="K19" i="64"/>
  <c r="K13" i="64"/>
  <c r="K11" i="64"/>
  <c r="K47" i="64"/>
  <c r="K20" i="30"/>
  <c r="K36" i="30"/>
  <c r="K18" i="30"/>
  <c r="K34" i="30"/>
  <c r="K9" i="64"/>
  <c r="G53" i="77"/>
  <c r="G53" i="76"/>
  <c r="G53" i="75"/>
  <c r="K10" i="64"/>
  <c r="K6" i="64"/>
  <c r="K7" i="64"/>
  <c r="K50" i="64"/>
  <c r="K44" i="64"/>
  <c r="G53" i="59"/>
  <c r="G53" i="32"/>
  <c r="G53" i="34"/>
  <c r="G53" i="31"/>
  <c r="K14" i="30"/>
  <c r="K30" i="30"/>
  <c r="K16" i="30"/>
  <c r="K32" i="30"/>
  <c r="K9" i="30"/>
  <c r="K27" i="30"/>
  <c r="K38" i="30"/>
  <c r="K5" i="30"/>
  <c r="K24" i="30"/>
  <c r="K11" i="30"/>
  <c r="K22" i="30"/>
  <c r="M3" i="30"/>
  <c r="Q26" i="1" s="1"/>
  <c r="K6" i="30"/>
  <c r="K17" i="30"/>
  <c r="K33" i="30"/>
  <c r="K19" i="30"/>
  <c r="K35" i="30"/>
  <c r="K10" i="30"/>
  <c r="K21" i="30"/>
  <c r="K37" i="30"/>
  <c r="K23" i="30"/>
  <c r="K39" i="30"/>
  <c r="K25" i="30"/>
  <c r="K8" i="30"/>
  <c r="K26" i="30"/>
  <c r="K12" i="30"/>
  <c r="K28" i="30"/>
  <c r="K13" i="30"/>
  <c r="K29" i="30"/>
  <c r="K15" i="30"/>
  <c r="K31" i="30"/>
  <c r="G52" i="28"/>
  <c r="O7" i="64" l="1"/>
  <c r="O6" i="64"/>
  <c r="O7" i="30"/>
  <c r="O8" i="30"/>
  <c r="O9" i="30"/>
  <c r="O6" i="30"/>
  <c r="O10" i="33"/>
  <c r="L10" i="33"/>
  <c r="O8" i="64"/>
  <c r="O9" i="64"/>
  <c r="O10" i="61"/>
  <c r="L10" i="61"/>
  <c r="L10" i="60"/>
  <c r="O10" i="60"/>
  <c r="L56" i="82"/>
  <c r="I57" i="82"/>
  <c r="J57" i="82" s="1"/>
  <c r="L56" i="81"/>
  <c r="I57" i="81"/>
  <c r="J57" i="81" s="1"/>
  <c r="E60" i="80"/>
  <c r="G54" i="77"/>
  <c r="G54" i="76"/>
  <c r="G54" i="75"/>
  <c r="G54" i="59"/>
  <c r="G54" i="32"/>
  <c r="G54" i="34"/>
  <c r="G54" i="31"/>
  <c r="G53" i="28"/>
  <c r="O10" i="64" l="1"/>
  <c r="O10" i="30"/>
  <c r="L10" i="30"/>
  <c r="L10" i="64"/>
  <c r="L57" i="82"/>
  <c r="I58" i="82"/>
  <c r="J58" i="82" s="1"/>
  <c r="I58" i="81"/>
  <c r="J58" i="81" s="1"/>
  <c r="L57" i="81"/>
  <c r="E61" i="80"/>
  <c r="G55" i="77"/>
  <c r="G55" i="76"/>
  <c r="G55" i="75"/>
  <c r="G55" i="59"/>
  <c r="G55" i="32"/>
  <c r="G55" i="34"/>
  <c r="G55" i="31"/>
  <c r="G54" i="28"/>
  <c r="I59" i="82" l="1"/>
  <c r="J59" i="82" s="1"/>
  <c r="L58" i="82"/>
  <c r="L58" i="81"/>
  <c r="I59" i="81"/>
  <c r="J59" i="81" s="1"/>
  <c r="E62" i="80"/>
  <c r="G56" i="77"/>
  <c r="G56" i="76"/>
  <c r="G56" i="75"/>
  <c r="J54" i="59"/>
  <c r="G56" i="34"/>
  <c r="G56" i="31"/>
  <c r="G55" i="28"/>
  <c r="I60" i="82" l="1"/>
  <c r="J60" i="82" s="1"/>
  <c r="L59" i="82"/>
  <c r="I60" i="81"/>
  <c r="J60" i="81" s="1"/>
  <c r="L59" i="81"/>
  <c r="E63" i="80"/>
  <c r="J33" i="59"/>
  <c r="I53" i="32"/>
  <c r="I19" i="32"/>
  <c r="I49" i="32"/>
  <c r="I8" i="32"/>
  <c r="I5" i="32"/>
  <c r="J27" i="32"/>
  <c r="J25" i="32"/>
  <c r="J18" i="32"/>
  <c r="I47" i="32"/>
  <c r="J13" i="32"/>
  <c r="I36" i="32"/>
  <c r="J8" i="32"/>
  <c r="I38" i="32"/>
  <c r="J34" i="32"/>
  <c r="I43" i="32"/>
  <c r="I32" i="32"/>
  <c r="I52" i="32"/>
  <c r="I18" i="32"/>
  <c r="J43" i="32"/>
  <c r="I12" i="32"/>
  <c r="J19" i="32"/>
  <c r="J6" i="32"/>
  <c r="J44" i="32"/>
  <c r="K44" i="32" s="1"/>
  <c r="J46" i="32"/>
  <c r="I44" i="32"/>
  <c r="I30" i="32"/>
  <c r="J10" i="32"/>
  <c r="J20" i="32"/>
  <c r="J31" i="32"/>
  <c r="J41" i="32"/>
  <c r="J38" i="32"/>
  <c r="I42" i="32"/>
  <c r="J33" i="32"/>
  <c r="I31" i="32"/>
  <c r="I54" i="32"/>
  <c r="I20" i="32"/>
  <c r="J47" i="32"/>
  <c r="I22" i="32"/>
  <c r="J49" i="32"/>
  <c r="I27" i="32"/>
  <c r="J54" i="32"/>
  <c r="I16" i="32"/>
  <c r="I17" i="32"/>
  <c r="J11" i="32"/>
  <c r="J12" i="32"/>
  <c r="I7" i="32"/>
  <c r="I13" i="32"/>
  <c r="J23" i="32"/>
  <c r="J48" i="32"/>
  <c r="K48" i="32" s="1"/>
  <c r="J22" i="32"/>
  <c r="I46" i="32"/>
  <c r="J40" i="32"/>
  <c r="I51" i="32"/>
  <c r="J4" i="32"/>
  <c r="I40" i="32"/>
  <c r="J42" i="32"/>
  <c r="I26" i="32"/>
  <c r="J55" i="32"/>
  <c r="I37" i="32"/>
  <c r="I6" i="32"/>
  <c r="I11" i="32"/>
  <c r="J15" i="32"/>
  <c r="I50" i="32"/>
  <c r="J30" i="32"/>
  <c r="I55" i="32"/>
  <c r="J17" i="32"/>
  <c r="I35" i="32"/>
  <c r="J50" i="32"/>
  <c r="I24" i="32"/>
  <c r="I41" i="32"/>
  <c r="I10" i="32"/>
  <c r="I33" i="32"/>
  <c r="J16" i="32"/>
  <c r="J36" i="32"/>
  <c r="J39" i="32"/>
  <c r="K39" i="32" s="1"/>
  <c r="J28" i="32"/>
  <c r="J35" i="32"/>
  <c r="J53" i="32"/>
  <c r="J24" i="32"/>
  <c r="J9" i="32"/>
  <c r="K9" i="32" s="1"/>
  <c r="J14" i="32"/>
  <c r="I48" i="32"/>
  <c r="J21" i="32"/>
  <c r="I34" i="32"/>
  <c r="J5" i="32"/>
  <c r="I39" i="32"/>
  <c r="J45" i="32"/>
  <c r="K45" i="32" s="1"/>
  <c r="I28" i="32"/>
  <c r="J51" i="32"/>
  <c r="I14" i="32"/>
  <c r="I45" i="32"/>
  <c r="J29" i="32"/>
  <c r="I23" i="32"/>
  <c r="J52" i="32"/>
  <c r="I9" i="32"/>
  <c r="J7" i="32"/>
  <c r="I15" i="32"/>
  <c r="I29" i="32"/>
  <c r="I21" i="32"/>
  <c r="I25" i="32"/>
  <c r="J26" i="32"/>
  <c r="J32" i="32"/>
  <c r="J37" i="32"/>
  <c r="J51" i="59"/>
  <c r="G57" i="77"/>
  <c r="G57" i="76"/>
  <c r="G57" i="75"/>
  <c r="J37" i="59"/>
  <c r="J21" i="59"/>
  <c r="J41" i="59"/>
  <c r="J25" i="59"/>
  <c r="J48" i="59"/>
  <c r="J29" i="59"/>
  <c r="J13" i="59"/>
  <c r="J17" i="59"/>
  <c r="J9" i="59"/>
  <c r="J53" i="59"/>
  <c r="K54" i="59" s="1"/>
  <c r="J42" i="59"/>
  <c r="K42" i="59" s="1"/>
  <c r="J34" i="59"/>
  <c r="J22" i="59"/>
  <c r="J14" i="59"/>
  <c r="J6" i="59"/>
  <c r="J50" i="59"/>
  <c r="J43" i="59"/>
  <c r="J39" i="59"/>
  <c r="J35" i="59"/>
  <c r="J31" i="59"/>
  <c r="J27" i="59"/>
  <c r="J23" i="59"/>
  <c r="J19" i="59"/>
  <c r="J15" i="59"/>
  <c r="J11" i="59"/>
  <c r="J5" i="59"/>
  <c r="J52" i="59"/>
  <c r="J38" i="59"/>
  <c r="J30" i="59"/>
  <c r="J26" i="59"/>
  <c r="J18" i="59"/>
  <c r="J10" i="59"/>
  <c r="J44" i="59"/>
  <c r="K44" i="59" s="1"/>
  <c r="J46" i="59"/>
  <c r="J40" i="59"/>
  <c r="K41" i="59" s="1"/>
  <c r="J36" i="59"/>
  <c r="J32" i="59"/>
  <c r="J28" i="59"/>
  <c r="K29" i="59" s="1"/>
  <c r="J24" i="59"/>
  <c r="J20" i="59"/>
  <c r="J16" i="59"/>
  <c r="J12" i="59"/>
  <c r="J7" i="59"/>
  <c r="J55" i="59"/>
  <c r="K55" i="59" s="1"/>
  <c r="I5" i="59"/>
  <c r="I6" i="59"/>
  <c r="I7" i="59"/>
  <c r="I8" i="59"/>
  <c r="I9" i="59"/>
  <c r="I10" i="59"/>
  <c r="I11" i="59"/>
  <c r="I12" i="59"/>
  <c r="I13" i="59"/>
  <c r="I14" i="59"/>
  <c r="I15" i="59"/>
  <c r="I16" i="59"/>
  <c r="I17" i="59"/>
  <c r="I18" i="59"/>
  <c r="I19" i="59"/>
  <c r="I20" i="59"/>
  <c r="I21" i="59"/>
  <c r="I22" i="59"/>
  <c r="I23" i="59"/>
  <c r="I24" i="59"/>
  <c r="I25" i="59"/>
  <c r="I26" i="59"/>
  <c r="I27" i="59"/>
  <c r="I28" i="59"/>
  <c r="I29" i="59"/>
  <c r="I30" i="59"/>
  <c r="I31" i="59"/>
  <c r="I32" i="59"/>
  <c r="I33" i="59"/>
  <c r="I34" i="59"/>
  <c r="I35" i="59"/>
  <c r="I36" i="59"/>
  <c r="I37" i="59"/>
  <c r="I38" i="59"/>
  <c r="I39" i="59"/>
  <c r="I40" i="59"/>
  <c r="I41" i="59"/>
  <c r="I42" i="59"/>
  <c r="I43" i="59"/>
  <c r="I44" i="59"/>
  <c r="I45" i="59"/>
  <c r="I46" i="59"/>
  <c r="I47" i="59"/>
  <c r="I48" i="59"/>
  <c r="I49" i="59"/>
  <c r="I50" i="59"/>
  <c r="I51" i="59"/>
  <c r="I52" i="59"/>
  <c r="I53" i="59"/>
  <c r="I54" i="59"/>
  <c r="J47" i="59"/>
  <c r="J45" i="59"/>
  <c r="I55" i="59"/>
  <c r="J49" i="59"/>
  <c r="K7" i="59"/>
  <c r="J8" i="59"/>
  <c r="J4" i="59"/>
  <c r="K29" i="32"/>
  <c r="G57" i="34"/>
  <c r="G57" i="31"/>
  <c r="G56" i="28"/>
  <c r="K36" i="32" l="1"/>
  <c r="K46" i="32"/>
  <c r="K37" i="32"/>
  <c r="K22" i="32"/>
  <c r="K6" i="32"/>
  <c r="K14" i="32"/>
  <c r="K55" i="32"/>
  <c r="K30" i="32"/>
  <c r="K8" i="32"/>
  <c r="N7" i="32"/>
  <c r="K10" i="32"/>
  <c r="N6" i="59"/>
  <c r="K30" i="59"/>
  <c r="K24" i="59"/>
  <c r="K12" i="32"/>
  <c r="N8" i="32"/>
  <c r="N9" i="59"/>
  <c r="N8" i="59"/>
  <c r="K33" i="59"/>
  <c r="K21" i="59"/>
  <c r="K34" i="59"/>
  <c r="N7" i="59"/>
  <c r="K5" i="59"/>
  <c r="K52" i="59"/>
  <c r="K31" i="32"/>
  <c r="K24" i="32"/>
  <c r="K50" i="32"/>
  <c r="K47" i="32"/>
  <c r="K18" i="32"/>
  <c r="K23" i="32"/>
  <c r="N9" i="32"/>
  <c r="K16" i="32"/>
  <c r="K33" i="32"/>
  <c r="K20" i="32"/>
  <c r="N6" i="32"/>
  <c r="L60" i="82"/>
  <c r="I61" i="82"/>
  <c r="J61" i="82" s="1"/>
  <c r="L60" i="81"/>
  <c r="I61" i="81"/>
  <c r="J61" i="81" s="1"/>
  <c r="E64" i="80"/>
  <c r="K38" i="32"/>
  <c r="K25" i="32"/>
  <c r="K8" i="59"/>
  <c r="K32" i="32"/>
  <c r="K54" i="32"/>
  <c r="K15" i="32"/>
  <c r="K42" i="32"/>
  <c r="K35" i="32"/>
  <c r="K40" i="59"/>
  <c r="K13" i="59"/>
  <c r="K40" i="32"/>
  <c r="K49" i="32"/>
  <c r="K26" i="32"/>
  <c r="K49" i="59"/>
  <c r="K17" i="32"/>
  <c r="K47" i="59"/>
  <c r="K18" i="59"/>
  <c r="K16" i="59"/>
  <c r="K22" i="59"/>
  <c r="K37" i="59"/>
  <c r="K51" i="32"/>
  <c r="K19" i="32"/>
  <c r="K28" i="59"/>
  <c r="K51" i="59"/>
  <c r="K52" i="32"/>
  <c r="K23" i="59"/>
  <c r="K11" i="32"/>
  <c r="K45" i="59"/>
  <c r="K10" i="59"/>
  <c r="K38" i="59"/>
  <c r="K32" i="59"/>
  <c r="K41" i="32"/>
  <c r="M3" i="59"/>
  <c r="Q16" i="1" s="1"/>
  <c r="K53" i="32"/>
  <c r="K34" i="32"/>
  <c r="K13" i="32"/>
  <c r="K27" i="32"/>
  <c r="K25" i="59"/>
  <c r="K35" i="59"/>
  <c r="K5" i="32"/>
  <c r="M3" i="32"/>
  <c r="Q15" i="1" s="1"/>
  <c r="K12" i="59"/>
  <c r="K17" i="59"/>
  <c r="K21" i="32"/>
  <c r="K43" i="32"/>
  <c r="K26" i="59"/>
  <c r="K14" i="59"/>
  <c r="K7" i="32"/>
  <c r="K28" i="32"/>
  <c r="G58" i="77"/>
  <c r="G58" i="76"/>
  <c r="G58" i="75"/>
  <c r="K15" i="59"/>
  <c r="K20" i="59"/>
  <c r="K36" i="59"/>
  <c r="K27" i="59"/>
  <c r="K43" i="59"/>
  <c r="K48" i="59"/>
  <c r="K31" i="59"/>
  <c r="K11" i="59"/>
  <c r="K39" i="59"/>
  <c r="K53" i="59"/>
  <c r="K19" i="59"/>
  <c r="K6" i="59"/>
  <c r="K9" i="59"/>
  <c r="K46" i="59"/>
  <c r="K50" i="59"/>
  <c r="G58" i="34"/>
  <c r="G58" i="31"/>
  <c r="G57" i="28"/>
  <c r="O9" i="32" l="1"/>
  <c r="O7" i="59"/>
  <c r="O6" i="59"/>
  <c r="O8" i="59"/>
  <c r="O9" i="59"/>
  <c r="O6" i="32"/>
  <c r="O7" i="32"/>
  <c r="O8" i="32"/>
  <c r="L61" i="82"/>
  <c r="I62" i="82"/>
  <c r="J62" i="82" s="1"/>
  <c r="L61" i="81"/>
  <c r="I62" i="81"/>
  <c r="J62" i="81" s="1"/>
  <c r="E65" i="80"/>
  <c r="G59" i="77"/>
  <c r="G59" i="76"/>
  <c r="G59" i="75"/>
  <c r="G59" i="34"/>
  <c r="G59" i="31"/>
  <c r="G58" i="28"/>
  <c r="L10" i="59" l="1"/>
  <c r="O10" i="59"/>
  <c r="L10" i="32"/>
  <c r="O10" i="32"/>
  <c r="I63" i="82"/>
  <c r="J63" i="82" s="1"/>
  <c r="L62" i="82"/>
  <c r="I63" i="81"/>
  <c r="J63" i="81" s="1"/>
  <c r="L62" i="81"/>
  <c r="E66" i="80"/>
  <c r="G61" i="31"/>
  <c r="G60" i="77"/>
  <c r="I60" i="77" s="1"/>
  <c r="G60" i="76"/>
  <c r="G60" i="75"/>
  <c r="G60" i="34"/>
  <c r="G60" i="31"/>
  <c r="G59" i="28"/>
  <c r="L63" i="82" l="1"/>
  <c r="I64" i="82"/>
  <c r="J64" i="82" s="1"/>
  <c r="L63" i="81"/>
  <c r="I64" i="81"/>
  <c r="J64" i="81" s="1"/>
  <c r="E67" i="80"/>
  <c r="G62" i="31"/>
  <c r="J58" i="77"/>
  <c r="J54" i="77"/>
  <c r="J50" i="77"/>
  <c r="J46" i="77"/>
  <c r="J42" i="77"/>
  <c r="J38" i="77"/>
  <c r="J34" i="77"/>
  <c r="J30" i="77"/>
  <c r="J26" i="77"/>
  <c r="J22" i="77"/>
  <c r="J18" i="77"/>
  <c r="J14" i="77"/>
  <c r="J8" i="77"/>
  <c r="J15" i="77"/>
  <c r="J59" i="77"/>
  <c r="J55" i="77"/>
  <c r="J51" i="77"/>
  <c r="J47" i="77"/>
  <c r="J43" i="77"/>
  <c r="J39" i="77"/>
  <c r="J31" i="77"/>
  <c r="J27" i="77"/>
  <c r="J19" i="77"/>
  <c r="K19" i="77" s="1"/>
  <c r="J11" i="77"/>
  <c r="J60" i="77"/>
  <c r="J56" i="77"/>
  <c r="J52" i="77"/>
  <c r="J48" i="77"/>
  <c r="J44" i="77"/>
  <c r="J40" i="77"/>
  <c r="J36" i="77"/>
  <c r="J32" i="77"/>
  <c r="J28" i="77"/>
  <c r="J24" i="77"/>
  <c r="J20" i="77"/>
  <c r="K20" i="77" s="1"/>
  <c r="J16" i="77"/>
  <c r="J12" i="77"/>
  <c r="J10" i="77"/>
  <c r="J6" i="77"/>
  <c r="J35" i="77"/>
  <c r="J57" i="77"/>
  <c r="J53" i="77"/>
  <c r="J49" i="77"/>
  <c r="J45" i="77"/>
  <c r="J41" i="77"/>
  <c r="J37" i="77"/>
  <c r="J33" i="77"/>
  <c r="J29" i="77"/>
  <c r="J25" i="77"/>
  <c r="J21" i="77"/>
  <c r="J17" i="77"/>
  <c r="J13" i="77"/>
  <c r="J9" i="77"/>
  <c r="K9" i="77" s="1"/>
  <c r="J5" i="77"/>
  <c r="J4" i="77"/>
  <c r="J23" i="77"/>
  <c r="J7" i="77"/>
  <c r="I5" i="77"/>
  <c r="I6" i="77"/>
  <c r="I7" i="77"/>
  <c r="I8" i="77"/>
  <c r="I9" i="77"/>
  <c r="I10" i="77"/>
  <c r="I11" i="77"/>
  <c r="I12" i="77"/>
  <c r="I13" i="77"/>
  <c r="I14" i="77"/>
  <c r="I15" i="77"/>
  <c r="I16" i="77"/>
  <c r="I17" i="77"/>
  <c r="I18" i="77"/>
  <c r="I19" i="77"/>
  <c r="I20" i="77"/>
  <c r="I21" i="77"/>
  <c r="I22" i="77"/>
  <c r="I23" i="77"/>
  <c r="I24" i="77"/>
  <c r="I25" i="77"/>
  <c r="I26" i="77"/>
  <c r="I27" i="77"/>
  <c r="I28" i="77"/>
  <c r="I29" i="77"/>
  <c r="I30" i="77"/>
  <c r="I31" i="77"/>
  <c r="I32" i="77"/>
  <c r="I33" i="77"/>
  <c r="I34" i="77"/>
  <c r="I35" i="77"/>
  <c r="I36" i="77"/>
  <c r="I37" i="77"/>
  <c r="I38" i="77"/>
  <c r="I39" i="77"/>
  <c r="I40" i="77"/>
  <c r="I41" i="77"/>
  <c r="I42" i="77"/>
  <c r="I43" i="77"/>
  <c r="I44" i="77"/>
  <c r="I45" i="77"/>
  <c r="I46" i="77"/>
  <c r="I47" i="77"/>
  <c r="I48" i="77"/>
  <c r="I49" i="77"/>
  <c r="I50" i="77"/>
  <c r="I51" i="77"/>
  <c r="I52" i="77"/>
  <c r="I53" i="77"/>
  <c r="I54" i="77"/>
  <c r="I55" i="77"/>
  <c r="I56" i="77"/>
  <c r="I57" i="77"/>
  <c r="I58" i="77"/>
  <c r="I59" i="77"/>
  <c r="G61" i="76"/>
  <c r="G61" i="75"/>
  <c r="G61" i="34"/>
  <c r="G60" i="28"/>
  <c r="N7" i="77" l="1"/>
  <c r="K7" i="77"/>
  <c r="K44" i="77"/>
  <c r="K60" i="77"/>
  <c r="K51" i="77"/>
  <c r="N8" i="77"/>
  <c r="K35" i="77"/>
  <c r="N9" i="77"/>
  <c r="N6" i="77"/>
  <c r="K21" i="77"/>
  <c r="K37" i="77"/>
  <c r="K53" i="77"/>
  <c r="L64" i="82"/>
  <c r="I65" i="82"/>
  <c r="J65" i="82" s="1"/>
  <c r="L64" i="81"/>
  <c r="I65" i="81"/>
  <c r="J65" i="81" s="1"/>
  <c r="E68" i="80"/>
  <c r="G63" i="31"/>
  <c r="K27" i="77"/>
  <c r="K5" i="77"/>
  <c r="K25" i="77"/>
  <c r="K41" i="77"/>
  <c r="K57" i="77"/>
  <c r="K28" i="77"/>
  <c r="K23" i="77"/>
  <c r="K16" i="77"/>
  <c r="K39" i="77"/>
  <c r="K43" i="77"/>
  <c r="K59" i="77"/>
  <c r="K52" i="77"/>
  <c r="K13" i="77"/>
  <c r="K29" i="77"/>
  <c r="K45" i="77"/>
  <c r="K32" i="77"/>
  <c r="K48" i="77"/>
  <c r="K11" i="77"/>
  <c r="K55" i="77"/>
  <c r="K12" i="77"/>
  <c r="K31" i="77"/>
  <c r="K8" i="77"/>
  <c r="K26" i="77"/>
  <c r="K42" i="77"/>
  <c r="K58" i="77"/>
  <c r="M3" i="77"/>
  <c r="Q14" i="1" s="1"/>
  <c r="K10" i="77"/>
  <c r="K24" i="77"/>
  <c r="K40" i="77"/>
  <c r="K56" i="77"/>
  <c r="K47" i="77"/>
  <c r="K15" i="77"/>
  <c r="K22" i="77"/>
  <c r="K38" i="77"/>
  <c r="K54" i="77"/>
  <c r="K17" i="77"/>
  <c r="K33" i="77"/>
  <c r="K49" i="77"/>
  <c r="K6" i="77"/>
  <c r="K36" i="77"/>
  <c r="K18" i="77"/>
  <c r="K34" i="77"/>
  <c r="K50" i="77"/>
  <c r="K14" i="77"/>
  <c r="K30" i="77"/>
  <c r="K46" i="77"/>
  <c r="G62" i="76"/>
  <c r="G62" i="75"/>
  <c r="G62" i="34"/>
  <c r="J48" i="29"/>
  <c r="J44" i="29"/>
  <c r="J47" i="29"/>
  <c r="J43" i="29"/>
  <c r="J39" i="29"/>
  <c r="J35" i="29"/>
  <c r="J31" i="29"/>
  <c r="J27" i="29"/>
  <c r="J23" i="29"/>
  <c r="J19" i="29"/>
  <c r="J50" i="29"/>
  <c r="J46" i="29"/>
  <c r="J42" i="29"/>
  <c r="J38" i="29"/>
  <c r="J34" i="29"/>
  <c r="J30" i="29"/>
  <c r="J26" i="29"/>
  <c r="J49" i="29"/>
  <c r="J40" i="29"/>
  <c r="J36" i="29"/>
  <c r="J32" i="29"/>
  <c r="J28" i="29"/>
  <c r="J25" i="29"/>
  <c r="J22" i="29"/>
  <c r="J21" i="29"/>
  <c r="J18" i="29"/>
  <c r="J14" i="29"/>
  <c r="J8" i="29"/>
  <c r="J41" i="29"/>
  <c r="J37" i="29"/>
  <c r="J33" i="29"/>
  <c r="J45" i="29"/>
  <c r="J17" i="29"/>
  <c r="J13" i="29"/>
  <c r="J9" i="29"/>
  <c r="J5" i="29"/>
  <c r="J4" i="29"/>
  <c r="J29" i="29"/>
  <c r="K29" i="29" s="1"/>
  <c r="J16" i="29"/>
  <c r="J24" i="29"/>
  <c r="J20" i="29"/>
  <c r="J15" i="29"/>
  <c r="J11" i="29"/>
  <c r="J7" i="29"/>
  <c r="J12" i="29"/>
  <c r="J10" i="29"/>
  <c r="J6" i="29"/>
  <c r="I5" i="29"/>
  <c r="I6" i="29"/>
  <c r="I7" i="29"/>
  <c r="I8" i="29"/>
  <c r="I9" i="29"/>
  <c r="I10" i="29"/>
  <c r="I11" i="29"/>
  <c r="I1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J57" i="28"/>
  <c r="J53" i="28"/>
  <c r="J49" i="28"/>
  <c r="J45" i="28"/>
  <c r="J41" i="28"/>
  <c r="J37" i="28"/>
  <c r="J33" i="28"/>
  <c r="J29" i="28"/>
  <c r="J25" i="28"/>
  <c r="J21" i="28"/>
  <c r="J60" i="28"/>
  <c r="J59" i="28"/>
  <c r="J58" i="28"/>
  <c r="K58" i="28" s="1"/>
  <c r="J56" i="28"/>
  <c r="J55" i="28"/>
  <c r="J52" i="28"/>
  <c r="J51" i="28"/>
  <c r="J48" i="28"/>
  <c r="J47" i="28"/>
  <c r="J44" i="28"/>
  <c r="J43" i="28"/>
  <c r="J40" i="28"/>
  <c r="J39" i="28"/>
  <c r="J36" i="28"/>
  <c r="J35" i="28"/>
  <c r="J32" i="28"/>
  <c r="J31" i="28"/>
  <c r="J28" i="28"/>
  <c r="J27" i="28"/>
  <c r="J24" i="28"/>
  <c r="J23" i="28"/>
  <c r="J20" i="28"/>
  <c r="J19" i="28"/>
  <c r="J16" i="28"/>
  <c r="J12" i="28"/>
  <c r="J10" i="28"/>
  <c r="J6" i="28"/>
  <c r="J42" i="28"/>
  <c r="J38" i="28"/>
  <c r="J30" i="28"/>
  <c r="K30" i="28" s="1"/>
  <c r="J17" i="28"/>
  <c r="J54" i="28"/>
  <c r="K54" i="28" s="1"/>
  <c r="J9" i="28"/>
  <c r="J8" i="28"/>
  <c r="J7" i="28"/>
  <c r="J46" i="28"/>
  <c r="J15" i="28"/>
  <c r="J14" i="28"/>
  <c r="J11" i="28"/>
  <c r="J34" i="28"/>
  <c r="J26" i="28"/>
  <c r="J18" i="28"/>
  <c r="J5" i="28"/>
  <c r="J4" i="28"/>
  <c r="J50" i="28"/>
  <c r="K50" i="28" s="1"/>
  <c r="J22" i="28"/>
  <c r="J13" i="28"/>
  <c r="I5" i="28"/>
  <c r="I6" i="28"/>
  <c r="I7" i="28"/>
  <c r="I8" i="28"/>
  <c r="I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I45" i="28"/>
  <c r="I46" i="28"/>
  <c r="I47" i="28"/>
  <c r="I48" i="28"/>
  <c r="I49" i="28"/>
  <c r="I50" i="28"/>
  <c r="I51" i="28"/>
  <c r="I52" i="28"/>
  <c r="I53" i="28"/>
  <c r="I54" i="28"/>
  <c r="I55" i="28"/>
  <c r="I56" i="28"/>
  <c r="I57" i="28"/>
  <c r="I58" i="28"/>
  <c r="I59" i="28"/>
  <c r="I60" i="28"/>
  <c r="M3" i="29" l="1"/>
  <c r="Q17" i="1" s="1"/>
  <c r="K7" i="28"/>
  <c r="G64" i="31"/>
  <c r="I64" i="31" s="1"/>
  <c r="O7" i="77"/>
  <c r="N6" i="28"/>
  <c r="N7" i="29"/>
  <c r="O9" i="77"/>
  <c r="N9" i="29"/>
  <c r="N8" i="29"/>
  <c r="N6" i="29"/>
  <c r="O6" i="77"/>
  <c r="O8" i="77"/>
  <c r="N8" i="28"/>
  <c r="N9" i="28"/>
  <c r="N7" i="28"/>
  <c r="L65" i="82"/>
  <c r="I66" i="82"/>
  <c r="J66" i="82" s="1"/>
  <c r="L65" i="81"/>
  <c r="I66" i="81"/>
  <c r="J66" i="81" s="1"/>
  <c r="E69" i="80"/>
  <c r="K26" i="28"/>
  <c r="K15" i="28"/>
  <c r="K9" i="28"/>
  <c r="K60" i="28"/>
  <c r="K11" i="28"/>
  <c r="K46" i="28"/>
  <c r="K31" i="28"/>
  <c r="K45" i="29"/>
  <c r="K36" i="29"/>
  <c r="K38" i="28"/>
  <c r="K23" i="28"/>
  <c r="K47" i="28"/>
  <c r="K55" i="28"/>
  <c r="K33" i="28"/>
  <c r="K49" i="28"/>
  <c r="G63" i="76"/>
  <c r="G63" i="75"/>
  <c r="K12" i="29"/>
  <c r="K32" i="29"/>
  <c r="M3" i="28"/>
  <c r="Q13" i="1" s="1"/>
  <c r="K12" i="28"/>
  <c r="K20" i="29"/>
  <c r="K23" i="29"/>
  <c r="K39" i="29"/>
  <c r="K50" i="29"/>
  <c r="G63" i="34"/>
  <c r="K6" i="29"/>
  <c r="K9" i="29"/>
  <c r="K25" i="29"/>
  <c r="K40" i="29"/>
  <c r="K34" i="29"/>
  <c r="K10" i="29"/>
  <c r="K37" i="29"/>
  <c r="K28" i="29"/>
  <c r="K49" i="29"/>
  <c r="K33" i="29"/>
  <c r="K22" i="29"/>
  <c r="K48" i="29"/>
  <c r="K7" i="29"/>
  <c r="K14" i="29"/>
  <c r="K15" i="29"/>
  <c r="K16" i="29"/>
  <c r="K8" i="29"/>
  <c r="K30" i="29"/>
  <c r="K46" i="29"/>
  <c r="K19" i="29"/>
  <c r="K35" i="29"/>
  <c r="K13" i="29"/>
  <c r="K24" i="29"/>
  <c r="K17" i="29"/>
  <c r="K41" i="29"/>
  <c r="K18" i="29"/>
  <c r="K38" i="29"/>
  <c r="K27" i="29"/>
  <c r="K43" i="29"/>
  <c r="K11" i="29"/>
  <c r="K5" i="29"/>
  <c r="K21" i="29"/>
  <c r="K26" i="29"/>
  <c r="K42" i="29"/>
  <c r="K31" i="29"/>
  <c r="K47" i="29"/>
  <c r="K44" i="29"/>
  <c r="K42" i="28"/>
  <c r="K21" i="28"/>
  <c r="K37" i="28"/>
  <c r="K53" i="28"/>
  <c r="K19" i="28"/>
  <c r="K39" i="28"/>
  <c r="K34" i="28"/>
  <c r="K16" i="28"/>
  <c r="K32" i="28"/>
  <c r="K48" i="28"/>
  <c r="K5" i="28"/>
  <c r="K22" i="28"/>
  <c r="K18" i="28"/>
  <c r="K14" i="28"/>
  <c r="K8" i="28"/>
  <c r="K10" i="28"/>
  <c r="K20" i="28"/>
  <c r="K28" i="28"/>
  <c r="K36" i="28"/>
  <c r="K44" i="28"/>
  <c r="K52" i="28"/>
  <c r="K59" i="28"/>
  <c r="K29" i="28"/>
  <c r="K45" i="28"/>
  <c r="K24" i="28"/>
  <c r="K40" i="28"/>
  <c r="K56" i="28"/>
  <c r="K13" i="28"/>
  <c r="K17" i="28"/>
  <c r="K6" i="28"/>
  <c r="K27" i="28"/>
  <c r="K35" i="28"/>
  <c r="K43" i="28"/>
  <c r="K51" i="28"/>
  <c r="K25" i="28"/>
  <c r="K41" i="28"/>
  <c r="K57" i="28"/>
  <c r="O6" i="29" l="1"/>
  <c r="O8" i="28"/>
  <c r="O8" i="29"/>
  <c r="O9" i="29"/>
  <c r="O7" i="29"/>
  <c r="L10" i="77"/>
  <c r="O10" i="77"/>
  <c r="O6" i="28"/>
  <c r="O7" i="28"/>
  <c r="O9" i="28"/>
  <c r="L66" i="82"/>
  <c r="I67" i="82"/>
  <c r="J67" i="82" s="1"/>
  <c r="I67" i="81"/>
  <c r="J67" i="81" s="1"/>
  <c r="L66" i="81"/>
  <c r="E70" i="80"/>
  <c r="G65" i="34"/>
  <c r="J41" i="31"/>
  <c r="J38" i="31"/>
  <c r="J59" i="31"/>
  <c r="J9" i="31"/>
  <c r="I16" i="31"/>
  <c r="I32" i="31"/>
  <c r="I48" i="31"/>
  <c r="J28" i="31"/>
  <c r="I37" i="31"/>
  <c r="J30" i="31"/>
  <c r="I26" i="31"/>
  <c r="J63" i="31"/>
  <c r="J21" i="31"/>
  <c r="J18" i="31"/>
  <c r="I25" i="31"/>
  <c r="J60" i="31"/>
  <c r="J5" i="31"/>
  <c r="J58" i="31"/>
  <c r="J20" i="31"/>
  <c r="J35" i="31"/>
  <c r="I11" i="31"/>
  <c r="I27" i="31"/>
  <c r="I43" i="31"/>
  <c r="I59" i="31"/>
  <c r="I9" i="31"/>
  <c r="I41" i="31"/>
  <c r="J40" i="31"/>
  <c r="I10" i="31"/>
  <c r="I42" i="31"/>
  <c r="J62" i="31"/>
  <c r="J22" i="31"/>
  <c r="J43" i="31"/>
  <c r="I20" i="31"/>
  <c r="I52" i="31"/>
  <c r="I49" i="31"/>
  <c r="I34" i="31"/>
  <c r="J48" i="31"/>
  <c r="I45" i="31"/>
  <c r="I38" i="31"/>
  <c r="J42" i="31"/>
  <c r="J13" i="31"/>
  <c r="I31" i="31"/>
  <c r="J11" i="31"/>
  <c r="I17" i="31"/>
  <c r="J51" i="31"/>
  <c r="I50" i="31"/>
  <c r="I61" i="31"/>
  <c r="J52" i="31"/>
  <c r="J6" i="31"/>
  <c r="K6" i="31" s="1"/>
  <c r="I24" i="31"/>
  <c r="I56" i="31"/>
  <c r="J64" i="31"/>
  <c r="I46" i="31"/>
  <c r="J50" i="31"/>
  <c r="I57" i="31"/>
  <c r="I54" i="31"/>
  <c r="J26" i="31"/>
  <c r="J27" i="31"/>
  <c r="I35" i="31"/>
  <c r="J19" i="31"/>
  <c r="J49" i="31"/>
  <c r="K49" i="31" s="1"/>
  <c r="I22" i="31"/>
  <c r="J57" i="31"/>
  <c r="J54" i="31"/>
  <c r="J15" i="31"/>
  <c r="J31" i="31"/>
  <c r="K31" i="31" s="1"/>
  <c r="I12" i="31"/>
  <c r="I28" i="31"/>
  <c r="I44" i="31"/>
  <c r="I60" i="31"/>
  <c r="I29" i="31"/>
  <c r="J33" i="31"/>
  <c r="I18" i="31"/>
  <c r="I58" i="31"/>
  <c r="J37" i="31"/>
  <c r="J34" i="31"/>
  <c r="K34" i="31" s="1"/>
  <c r="I13" i="31"/>
  <c r="I63" i="31"/>
  <c r="J12" i="31"/>
  <c r="K12" i="31" s="1"/>
  <c r="J61" i="31"/>
  <c r="K61" i="31" s="1"/>
  <c r="J56" i="31"/>
  <c r="J36" i="31"/>
  <c r="J10" i="31"/>
  <c r="I7" i="31"/>
  <c r="I23" i="31"/>
  <c r="I39" i="31"/>
  <c r="I55" i="31"/>
  <c r="I5" i="31"/>
  <c r="I33" i="31"/>
  <c r="J44" i="31"/>
  <c r="I6" i="31"/>
  <c r="I30" i="31"/>
  <c r="J25" i="31"/>
  <c r="J23" i="31"/>
  <c r="I36" i="31"/>
  <c r="J16" i="31"/>
  <c r="J7" i="31"/>
  <c r="K7" i="31" s="1"/>
  <c r="I62" i="31"/>
  <c r="J55" i="31"/>
  <c r="J46" i="31"/>
  <c r="J45" i="31"/>
  <c r="J14" i="31"/>
  <c r="I15" i="31"/>
  <c r="I47" i="31"/>
  <c r="I53" i="31"/>
  <c r="I14" i="31"/>
  <c r="J32" i="31"/>
  <c r="I8" i="31"/>
  <c r="I40" i="31"/>
  <c r="J4" i="31"/>
  <c r="J17" i="31"/>
  <c r="J53" i="31"/>
  <c r="K53" i="31" s="1"/>
  <c r="J8" i="31"/>
  <c r="J24" i="31"/>
  <c r="K24" i="31" s="1"/>
  <c r="J29" i="31"/>
  <c r="J47" i="31"/>
  <c r="K47" i="31" s="1"/>
  <c r="I19" i="31"/>
  <c r="I51" i="31"/>
  <c r="I21" i="31"/>
  <c r="J39" i="31"/>
  <c r="G64" i="76"/>
  <c r="I64" i="76" s="1"/>
  <c r="G64" i="75"/>
  <c r="G64" i="34"/>
  <c r="K8" i="31" l="1"/>
  <c r="K48" i="31"/>
  <c r="K13" i="31"/>
  <c r="K21" i="31"/>
  <c r="K41" i="31"/>
  <c r="N6" i="31"/>
  <c r="K60" i="31"/>
  <c r="O10" i="29"/>
  <c r="L10" i="29"/>
  <c r="O10" i="28"/>
  <c r="L10" i="28"/>
  <c r="N9" i="31"/>
  <c r="N7" i="31"/>
  <c r="N8" i="31"/>
  <c r="K14" i="31"/>
  <c r="K23" i="31"/>
  <c r="K44" i="31"/>
  <c r="K27" i="31"/>
  <c r="K50" i="31"/>
  <c r="K62" i="31"/>
  <c r="K58" i="31"/>
  <c r="K18" i="31"/>
  <c r="K30" i="31"/>
  <c r="K38" i="31"/>
  <c r="L67" i="82"/>
  <c r="I68" i="82"/>
  <c r="J68" i="82" s="1"/>
  <c r="L67" i="81"/>
  <c r="I68" i="81"/>
  <c r="J68" i="81" s="1"/>
  <c r="E71" i="80"/>
  <c r="K33" i="31"/>
  <c r="K45" i="31"/>
  <c r="K25" i="31"/>
  <c r="K57" i="31"/>
  <c r="K56" i="31"/>
  <c r="K39" i="31"/>
  <c r="K46" i="31"/>
  <c r="M3" i="31"/>
  <c r="Q11" i="1" s="1"/>
  <c r="K54" i="31"/>
  <c r="K19" i="31"/>
  <c r="K52" i="31"/>
  <c r="K42" i="31"/>
  <c r="K43" i="31"/>
  <c r="K36" i="31"/>
  <c r="K35" i="31"/>
  <c r="K64" i="31"/>
  <c r="K63" i="31"/>
  <c r="K29" i="31"/>
  <c r="K28" i="31"/>
  <c r="K10" i="31"/>
  <c r="K9" i="31"/>
  <c r="G66" i="34"/>
  <c r="K15" i="31"/>
  <c r="K26" i="31"/>
  <c r="K51" i="31"/>
  <c r="K5" i="31"/>
  <c r="K16" i="31"/>
  <c r="K17" i="31"/>
  <c r="K32" i="31"/>
  <c r="K55" i="31"/>
  <c r="K37" i="31"/>
  <c r="K11" i="31"/>
  <c r="K22" i="31"/>
  <c r="K40" i="31"/>
  <c r="K20" i="31"/>
  <c r="K59" i="31"/>
  <c r="J62" i="76"/>
  <c r="J58" i="76"/>
  <c r="J54" i="76"/>
  <c r="J50" i="76"/>
  <c r="J46" i="76"/>
  <c r="J42" i="76"/>
  <c r="J38" i="76"/>
  <c r="J34" i="76"/>
  <c r="J30" i="76"/>
  <c r="J26" i="76"/>
  <c r="J22" i="76"/>
  <c r="J18" i="76"/>
  <c r="J14" i="76"/>
  <c r="J8" i="76"/>
  <c r="J63" i="76"/>
  <c r="J59" i="76"/>
  <c r="J55" i="76"/>
  <c r="J51" i="76"/>
  <c r="J47" i="76"/>
  <c r="J43" i="76"/>
  <c r="J39" i="76"/>
  <c r="J35" i="76"/>
  <c r="J31" i="76"/>
  <c r="J27" i="76"/>
  <c r="J23" i="76"/>
  <c r="J19" i="76"/>
  <c r="J15" i="76"/>
  <c r="J11" i="76"/>
  <c r="J7" i="76"/>
  <c r="J64" i="76"/>
  <c r="J60" i="76"/>
  <c r="J56" i="76"/>
  <c r="J52" i="76"/>
  <c r="J48" i="76"/>
  <c r="J44" i="76"/>
  <c r="J40" i="76"/>
  <c r="J36" i="76"/>
  <c r="J32" i="76"/>
  <c r="J28" i="76"/>
  <c r="J24" i="76"/>
  <c r="J20" i="76"/>
  <c r="J16" i="76"/>
  <c r="J12" i="76"/>
  <c r="J10" i="76"/>
  <c r="J6" i="76"/>
  <c r="J61" i="76"/>
  <c r="J57" i="76"/>
  <c r="J53" i="76"/>
  <c r="J49" i="76"/>
  <c r="J45" i="76"/>
  <c r="J41" i="76"/>
  <c r="J37" i="76"/>
  <c r="J33" i="76"/>
  <c r="J29" i="76"/>
  <c r="J25" i="76"/>
  <c r="J21" i="76"/>
  <c r="J17" i="76"/>
  <c r="J13" i="76"/>
  <c r="J9" i="76"/>
  <c r="J5" i="76"/>
  <c r="J4" i="76"/>
  <c r="I5" i="76"/>
  <c r="I6" i="76"/>
  <c r="I7" i="76"/>
  <c r="I8" i="76"/>
  <c r="I9" i="76"/>
  <c r="I10" i="76"/>
  <c r="I11" i="76"/>
  <c r="I12" i="76"/>
  <c r="I13" i="76"/>
  <c r="I14" i="76"/>
  <c r="I15" i="76"/>
  <c r="I16" i="76"/>
  <c r="I17" i="76"/>
  <c r="I18" i="76"/>
  <c r="I19" i="76"/>
  <c r="I20" i="76"/>
  <c r="I21" i="76"/>
  <c r="I22" i="76"/>
  <c r="I23" i="76"/>
  <c r="I24" i="76"/>
  <c r="I25" i="76"/>
  <c r="I26" i="76"/>
  <c r="I27" i="76"/>
  <c r="I28" i="76"/>
  <c r="I29" i="76"/>
  <c r="I30" i="76"/>
  <c r="I31" i="76"/>
  <c r="I32" i="76"/>
  <c r="I33" i="76"/>
  <c r="I34" i="76"/>
  <c r="I35" i="76"/>
  <c r="I36" i="76"/>
  <c r="I37" i="76"/>
  <c r="I38" i="76"/>
  <c r="I39" i="76"/>
  <c r="I40" i="76"/>
  <c r="I41" i="76"/>
  <c r="I42" i="76"/>
  <c r="I43" i="76"/>
  <c r="I44" i="76"/>
  <c r="I45" i="76"/>
  <c r="I46" i="76"/>
  <c r="I47" i="76"/>
  <c r="I48" i="76"/>
  <c r="I49" i="76"/>
  <c r="I50" i="76"/>
  <c r="I51" i="76"/>
  <c r="I52" i="76"/>
  <c r="I53" i="76"/>
  <c r="I54" i="76"/>
  <c r="I55" i="76"/>
  <c r="I56" i="76"/>
  <c r="I57" i="76"/>
  <c r="I58" i="76"/>
  <c r="I59" i="76"/>
  <c r="I60" i="76"/>
  <c r="I61" i="76"/>
  <c r="I62" i="76"/>
  <c r="I63" i="76"/>
  <c r="G65" i="75"/>
  <c r="O7" i="31" l="1"/>
  <c r="N8" i="76"/>
  <c r="N6" i="76"/>
  <c r="N9" i="76"/>
  <c r="N7" i="76"/>
  <c r="O9" i="31"/>
  <c r="O8" i="31"/>
  <c r="O6" i="31"/>
  <c r="L68" i="82"/>
  <c r="I69" i="82"/>
  <c r="J69" i="82" s="1"/>
  <c r="L68" i="81"/>
  <c r="I69" i="81"/>
  <c r="J69" i="81" s="1"/>
  <c r="E72" i="80"/>
  <c r="G67" i="34"/>
  <c r="K21" i="76"/>
  <c r="K37" i="76"/>
  <c r="K53" i="76"/>
  <c r="K24" i="76"/>
  <c r="K40" i="76"/>
  <c r="K31" i="76"/>
  <c r="K63" i="76"/>
  <c r="K15" i="76"/>
  <c r="K23" i="76"/>
  <c r="K39" i="76"/>
  <c r="K55" i="76"/>
  <c r="K13" i="76"/>
  <c r="K29" i="76"/>
  <c r="K45" i="76"/>
  <c r="K61" i="76"/>
  <c r="K16" i="76"/>
  <c r="K32" i="76"/>
  <c r="K48" i="76"/>
  <c r="K64" i="76"/>
  <c r="K17" i="76"/>
  <c r="K33" i="76"/>
  <c r="K49" i="76"/>
  <c r="K20" i="76"/>
  <c r="K36" i="76"/>
  <c r="K52" i="76"/>
  <c r="K9" i="76"/>
  <c r="K27" i="76"/>
  <c r="K43" i="76"/>
  <c r="K47" i="76"/>
  <c r="K19" i="76"/>
  <c r="K35" i="76"/>
  <c r="K51" i="76"/>
  <c r="K57" i="76"/>
  <c r="K12" i="76"/>
  <c r="K28" i="76"/>
  <c r="K44" i="76"/>
  <c r="K60" i="76"/>
  <c r="K6" i="76"/>
  <c r="K25" i="76"/>
  <c r="K41" i="76"/>
  <c r="K56" i="76"/>
  <c r="K59" i="76"/>
  <c r="K7" i="76"/>
  <c r="K14" i="76"/>
  <c r="K30" i="76"/>
  <c r="K46" i="76"/>
  <c r="K62" i="76"/>
  <c r="M3" i="76"/>
  <c r="Q12" i="1" s="1"/>
  <c r="K8" i="76"/>
  <c r="K26" i="76"/>
  <c r="K42" i="76"/>
  <c r="K58" i="76"/>
  <c r="K22" i="76"/>
  <c r="K38" i="76"/>
  <c r="K54" i="76"/>
  <c r="K5" i="76"/>
  <c r="K10" i="76"/>
  <c r="K11" i="76"/>
  <c r="K18" i="76"/>
  <c r="K34" i="76"/>
  <c r="K50" i="76"/>
  <c r="G66" i="75"/>
  <c r="O7" i="76" l="1"/>
  <c r="O9" i="76"/>
  <c r="O6" i="76"/>
  <c r="O8" i="76"/>
  <c r="O10" i="31"/>
  <c r="L10" i="31"/>
  <c r="L69" i="82"/>
  <c r="I70" i="82"/>
  <c r="J70" i="82" s="1"/>
  <c r="I70" i="81"/>
  <c r="J70" i="81" s="1"/>
  <c r="L69" i="81"/>
  <c r="E73" i="80"/>
  <c r="G68" i="34"/>
  <c r="G67" i="75"/>
  <c r="L10" i="76" l="1"/>
  <c r="O10" i="76"/>
  <c r="L70" i="82"/>
  <c r="L70" i="81"/>
  <c r="E74" i="80"/>
  <c r="G69" i="34"/>
  <c r="G68" i="75"/>
  <c r="O68" i="82" l="1"/>
  <c r="O64" i="82"/>
  <c r="O60" i="82"/>
  <c r="O56" i="82"/>
  <c r="O52" i="82"/>
  <c r="O70" i="82"/>
  <c r="O66" i="82"/>
  <c r="O62" i="82"/>
  <c r="O58" i="82"/>
  <c r="O54" i="82"/>
  <c r="O50" i="82"/>
  <c r="O69" i="82"/>
  <c r="O55" i="82"/>
  <c r="O53" i="82"/>
  <c r="O46" i="82"/>
  <c r="O42" i="82"/>
  <c r="O38" i="82"/>
  <c r="O34" i="82"/>
  <c r="O30" i="82"/>
  <c r="O29" i="82"/>
  <c r="O28" i="82"/>
  <c r="O27" i="82"/>
  <c r="O26" i="82"/>
  <c r="O25" i="82"/>
  <c r="O10" i="82"/>
  <c r="O8" i="82"/>
  <c r="O6" i="82"/>
  <c r="O5" i="82"/>
  <c r="O67" i="82"/>
  <c r="O65" i="82"/>
  <c r="P65" i="82" s="1"/>
  <c r="O51" i="82"/>
  <c r="O49" i="82"/>
  <c r="O45" i="82"/>
  <c r="O41" i="82"/>
  <c r="O37" i="82"/>
  <c r="O33" i="82"/>
  <c r="O63" i="82"/>
  <c r="O61" i="82"/>
  <c r="O48" i="82"/>
  <c r="O44" i="82"/>
  <c r="O40" i="82"/>
  <c r="O36" i="82"/>
  <c r="O32" i="82"/>
  <c r="O24" i="82"/>
  <c r="O23" i="82"/>
  <c r="O22" i="82"/>
  <c r="O21" i="82"/>
  <c r="O20" i="82"/>
  <c r="O19" i="82"/>
  <c r="O18" i="82"/>
  <c r="O17" i="82"/>
  <c r="O16" i="82"/>
  <c r="O15" i="82"/>
  <c r="O14" i="82"/>
  <c r="O13" i="82"/>
  <c r="O12" i="82"/>
  <c r="O11" i="82"/>
  <c r="P11" i="82" s="1"/>
  <c r="O9" i="82"/>
  <c r="P9" i="82" s="1"/>
  <c r="O7" i="82"/>
  <c r="P7" i="82" s="1"/>
  <c r="O59" i="82"/>
  <c r="O57" i="82"/>
  <c r="O47" i="82"/>
  <c r="O43" i="82"/>
  <c r="O39" i="82"/>
  <c r="O35" i="82"/>
  <c r="O4" i="82"/>
  <c r="O31" i="82"/>
  <c r="P31" i="82" s="1"/>
  <c r="N5" i="82"/>
  <c r="N6" i="82"/>
  <c r="N7" i="82"/>
  <c r="N8" i="82"/>
  <c r="N9" i="82"/>
  <c r="N10" i="82"/>
  <c r="N11" i="82"/>
  <c r="N12" i="82"/>
  <c r="N13" i="82"/>
  <c r="N14" i="82"/>
  <c r="N15" i="82"/>
  <c r="N16" i="82"/>
  <c r="N17" i="82"/>
  <c r="N18" i="82"/>
  <c r="N19" i="82"/>
  <c r="N20" i="82"/>
  <c r="N21" i="82"/>
  <c r="N22" i="82"/>
  <c r="N23" i="82"/>
  <c r="N24" i="82"/>
  <c r="N25" i="82"/>
  <c r="N26" i="82"/>
  <c r="N27" i="82"/>
  <c r="N28" i="82"/>
  <c r="N29" i="82"/>
  <c r="N30" i="82"/>
  <c r="N31" i="82"/>
  <c r="N32" i="82"/>
  <c r="N33" i="82"/>
  <c r="N34" i="82"/>
  <c r="N35" i="82"/>
  <c r="N36" i="82"/>
  <c r="N37" i="82"/>
  <c r="N38" i="82"/>
  <c r="N39" i="82"/>
  <c r="N40" i="82"/>
  <c r="N41" i="82"/>
  <c r="N42" i="82"/>
  <c r="N43" i="82"/>
  <c r="N44" i="82"/>
  <c r="N45" i="82"/>
  <c r="N46" i="82"/>
  <c r="N47" i="82"/>
  <c r="N48" i="82"/>
  <c r="N49" i="82"/>
  <c r="N50" i="82"/>
  <c r="N51" i="82"/>
  <c r="N52" i="82"/>
  <c r="N53" i="82"/>
  <c r="N54" i="82"/>
  <c r="N55" i="82"/>
  <c r="N56" i="82"/>
  <c r="N57" i="82"/>
  <c r="N58" i="82"/>
  <c r="N59" i="82"/>
  <c r="N60" i="82"/>
  <c r="N61" i="82"/>
  <c r="N62" i="82"/>
  <c r="N63" i="82"/>
  <c r="N64" i="82"/>
  <c r="N65" i="82"/>
  <c r="N66" i="82"/>
  <c r="N67" i="82"/>
  <c r="N68" i="82"/>
  <c r="N69" i="82"/>
  <c r="N70" i="82"/>
  <c r="O69" i="81"/>
  <c r="O67" i="81"/>
  <c r="O65" i="81"/>
  <c r="O63" i="81"/>
  <c r="O61" i="81"/>
  <c r="O59" i="81"/>
  <c r="O57" i="81"/>
  <c r="O55" i="81"/>
  <c r="O70" i="81"/>
  <c r="P70" i="81" s="1"/>
  <c r="O68" i="81"/>
  <c r="P68" i="81" s="1"/>
  <c r="O66" i="81"/>
  <c r="P66" i="81" s="1"/>
  <c r="O64" i="81"/>
  <c r="P64" i="81" s="1"/>
  <c r="O62" i="81"/>
  <c r="P62" i="81" s="1"/>
  <c r="O60" i="81"/>
  <c r="P60" i="81" s="1"/>
  <c r="O58" i="81"/>
  <c r="P58" i="81" s="1"/>
  <c r="O56" i="81"/>
  <c r="P56" i="81" s="1"/>
  <c r="O54" i="81"/>
  <c r="O52" i="81"/>
  <c r="O50" i="81"/>
  <c r="O48" i="81"/>
  <c r="O46" i="81"/>
  <c r="O44" i="81"/>
  <c r="O42" i="81"/>
  <c r="O40" i="81"/>
  <c r="O35" i="81"/>
  <c r="O31" i="81"/>
  <c r="O27" i="81"/>
  <c r="O23" i="81"/>
  <c r="O19" i="81"/>
  <c r="O43" i="81"/>
  <c r="O36" i="81"/>
  <c r="O26" i="81"/>
  <c r="O17" i="81"/>
  <c r="O13" i="81"/>
  <c r="O8" i="81"/>
  <c r="O5" i="81"/>
  <c r="O53" i="81"/>
  <c r="O51" i="81"/>
  <c r="O49" i="81"/>
  <c r="O41" i="81"/>
  <c r="P41" i="81" s="1"/>
  <c r="O37" i="81"/>
  <c r="O29" i="81"/>
  <c r="O21" i="81"/>
  <c r="O16" i="81"/>
  <c r="O12" i="81"/>
  <c r="O47" i="81"/>
  <c r="O39" i="81"/>
  <c r="O38" i="81"/>
  <c r="O32" i="81"/>
  <c r="O30" i="81"/>
  <c r="P30" i="81" s="1"/>
  <c r="O24" i="81"/>
  <c r="O22" i="81"/>
  <c r="O15" i="81"/>
  <c r="O11" i="81"/>
  <c r="O9" i="81"/>
  <c r="P9" i="81" s="1"/>
  <c r="O7" i="81"/>
  <c r="O4" i="81"/>
  <c r="O45" i="81"/>
  <c r="P45" i="81" s="1"/>
  <c r="O33" i="81"/>
  <c r="O25" i="81"/>
  <c r="O18" i="81"/>
  <c r="P18" i="81" s="1"/>
  <c r="O14" i="81"/>
  <c r="P14" i="81" s="1"/>
  <c r="O34" i="81"/>
  <c r="P34" i="81" s="1"/>
  <c r="O28" i="81"/>
  <c r="O20" i="81"/>
  <c r="P20" i="81" s="1"/>
  <c r="O10" i="81"/>
  <c r="O6" i="81"/>
  <c r="N5" i="81"/>
  <c r="N6" i="81"/>
  <c r="N7" i="81"/>
  <c r="N8" i="81"/>
  <c r="N9" i="81"/>
  <c r="N10" i="81"/>
  <c r="N11" i="81"/>
  <c r="N12" i="81"/>
  <c r="N13" i="81"/>
  <c r="N14" i="81"/>
  <c r="N15" i="81"/>
  <c r="N16" i="81"/>
  <c r="N17" i="81"/>
  <c r="N18" i="81"/>
  <c r="N19" i="81"/>
  <c r="N20" i="81"/>
  <c r="N21" i="81"/>
  <c r="N22" i="81"/>
  <c r="N23" i="81"/>
  <c r="N24" i="81"/>
  <c r="N25" i="81"/>
  <c r="N26" i="81"/>
  <c r="N27" i="81"/>
  <c r="N28" i="81"/>
  <c r="N29" i="81"/>
  <c r="N30" i="81"/>
  <c r="N31" i="81"/>
  <c r="N32" i="81"/>
  <c r="N33" i="81"/>
  <c r="N34" i="81"/>
  <c r="N35" i="81"/>
  <c r="N36" i="81"/>
  <c r="N37" i="81"/>
  <c r="N38" i="81"/>
  <c r="N39" i="81"/>
  <c r="N40" i="81"/>
  <c r="N41" i="81"/>
  <c r="N42" i="81"/>
  <c r="N43" i="81"/>
  <c r="N44" i="81"/>
  <c r="N45" i="81"/>
  <c r="N46" i="81"/>
  <c r="N47" i="81"/>
  <c r="N48" i="81"/>
  <c r="N49" i="81"/>
  <c r="N50" i="81"/>
  <c r="N51" i="81"/>
  <c r="N52" i="81"/>
  <c r="N53" i="81"/>
  <c r="N54" i="81"/>
  <c r="N55" i="81"/>
  <c r="N56" i="81"/>
  <c r="N57" i="81"/>
  <c r="N58" i="81"/>
  <c r="N59" i="81"/>
  <c r="N60" i="81"/>
  <c r="N61" i="81"/>
  <c r="N62" i="81"/>
  <c r="N63" i="81"/>
  <c r="N64" i="81"/>
  <c r="N65" i="81"/>
  <c r="N66" i="81"/>
  <c r="N67" i="81"/>
  <c r="N68" i="81"/>
  <c r="N69" i="81"/>
  <c r="N70" i="81"/>
  <c r="E75" i="80"/>
  <c r="G70" i="34"/>
  <c r="I70" i="34" s="1"/>
  <c r="G69" i="75"/>
  <c r="D79" i="16"/>
  <c r="D78" i="16"/>
  <c r="D77" i="16"/>
  <c r="D76" i="16"/>
  <c r="D75" i="16"/>
  <c r="D74" i="16"/>
  <c r="D73" i="16"/>
  <c r="D72" i="16"/>
  <c r="D71" i="16"/>
  <c r="D70" i="16"/>
  <c r="D69" i="16"/>
  <c r="D68" i="16"/>
  <c r="D67" i="16"/>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F20" i="16" s="1"/>
  <c r="D19" i="16"/>
  <c r="D18" i="16"/>
  <c r="D17" i="16"/>
  <c r="D16" i="16"/>
  <c r="D15" i="16"/>
  <c r="D14" i="16"/>
  <c r="D13" i="16"/>
  <c r="D12" i="16"/>
  <c r="D11" i="16"/>
  <c r="D10" i="16"/>
  <c r="D9" i="16"/>
  <c r="D8" i="16"/>
  <c r="D7" i="16"/>
  <c r="D6" i="16"/>
  <c r="D5" i="16"/>
  <c r="E5" i="16" s="1"/>
  <c r="P51" i="81" l="1"/>
  <c r="P43" i="81"/>
  <c r="P37" i="81"/>
  <c r="P10" i="81"/>
  <c r="P28" i="81"/>
  <c r="P25" i="81"/>
  <c r="P7" i="81"/>
  <c r="P22" i="81"/>
  <c r="P40" i="81"/>
  <c r="P39" i="82"/>
  <c r="P59" i="82"/>
  <c r="P12" i="82"/>
  <c r="P16" i="82"/>
  <c r="P20" i="82"/>
  <c r="P24" i="82"/>
  <c r="P29" i="82"/>
  <c r="P69" i="82"/>
  <c r="P56" i="82"/>
  <c r="P38" i="81"/>
  <c r="P5" i="81"/>
  <c r="P63" i="81"/>
  <c r="P33" i="81"/>
  <c r="P36" i="81"/>
  <c r="P16" i="81"/>
  <c r="P55" i="81"/>
  <c r="P47" i="81"/>
  <c r="P13" i="81"/>
  <c r="P59" i="81"/>
  <c r="P67" i="81"/>
  <c r="P44" i="82"/>
  <c r="P33" i="82"/>
  <c r="P49" i="82"/>
  <c r="P51" i="82"/>
  <c r="P5" i="82"/>
  <c r="P42" i="82"/>
  <c r="P62" i="82"/>
  <c r="P48" i="82"/>
  <c r="P37" i="82"/>
  <c r="P46" i="82"/>
  <c r="P66" i="82"/>
  <c r="P35" i="82"/>
  <c r="P15" i="82"/>
  <c r="P19" i="82"/>
  <c r="P23" i="82"/>
  <c r="P10" i="82"/>
  <c r="P28" i="82"/>
  <c r="P55" i="82"/>
  <c r="P25" i="82"/>
  <c r="S8" i="82"/>
  <c r="P43" i="82"/>
  <c r="P13" i="82"/>
  <c r="P21" i="82"/>
  <c r="P6" i="82"/>
  <c r="P30" i="82"/>
  <c r="P50" i="82"/>
  <c r="P60" i="82"/>
  <c r="P47" i="82"/>
  <c r="P14" i="82"/>
  <c r="P18" i="82"/>
  <c r="P22" i="82"/>
  <c r="P36" i="82"/>
  <c r="P61" i="82"/>
  <c r="P41" i="82"/>
  <c r="P8" i="82"/>
  <c r="P27" i="82"/>
  <c r="P34" i="82"/>
  <c r="P53" i="82"/>
  <c r="P54" i="82"/>
  <c r="P70" i="82"/>
  <c r="P64" i="82"/>
  <c r="R3" i="82"/>
  <c r="G39" i="84" s="1"/>
  <c r="S6" i="82"/>
  <c r="S9" i="82"/>
  <c r="S7" i="82"/>
  <c r="P17" i="82"/>
  <c r="P32" i="82"/>
  <c r="P26" i="82"/>
  <c r="P57" i="82"/>
  <c r="P40" i="82"/>
  <c r="P63" i="82"/>
  <c r="P45" i="82"/>
  <c r="P67" i="82"/>
  <c r="P38" i="82"/>
  <c r="P58" i="82"/>
  <c r="P52" i="82"/>
  <c r="P68" i="82"/>
  <c r="S6" i="81"/>
  <c r="R3" i="81"/>
  <c r="G38" i="84" s="1"/>
  <c r="P26" i="81"/>
  <c r="P23" i="81"/>
  <c r="P48" i="81"/>
  <c r="S9" i="81"/>
  <c r="S8" i="81"/>
  <c r="S7" i="81"/>
  <c r="P6" i="81"/>
  <c r="P24" i="81"/>
  <c r="P39" i="81"/>
  <c r="P21" i="81"/>
  <c r="P49" i="81"/>
  <c r="P8" i="81"/>
  <c r="P27" i="81"/>
  <c r="P42" i="81"/>
  <c r="P50" i="81"/>
  <c r="P57" i="81"/>
  <c r="P65" i="81"/>
  <c r="P11" i="81"/>
  <c r="P29" i="81"/>
  <c r="P31" i="81"/>
  <c r="P44" i="81"/>
  <c r="P52" i="81"/>
  <c r="P15" i="81"/>
  <c r="P32" i="81"/>
  <c r="P12" i="81"/>
  <c r="P53" i="81"/>
  <c r="P17" i="81"/>
  <c r="P19" i="81"/>
  <c r="P35" i="81"/>
  <c r="P46" i="81"/>
  <c r="P54" i="81"/>
  <c r="P61" i="81"/>
  <c r="P69" i="81"/>
  <c r="E76" i="80"/>
  <c r="J67" i="34"/>
  <c r="I65" i="34"/>
  <c r="J49" i="34"/>
  <c r="J33" i="34"/>
  <c r="J60" i="34"/>
  <c r="J58" i="34"/>
  <c r="J42" i="34"/>
  <c r="J26" i="34"/>
  <c r="J39" i="34"/>
  <c r="J23" i="34"/>
  <c r="J10" i="34"/>
  <c r="J11" i="34"/>
  <c r="J63" i="34"/>
  <c r="J21" i="34"/>
  <c r="J5" i="34"/>
  <c r="J28" i="34"/>
  <c r="J8" i="34"/>
  <c r="I7" i="34"/>
  <c r="I11" i="34"/>
  <c r="I15" i="34"/>
  <c r="I19" i="34"/>
  <c r="I23" i="34"/>
  <c r="I27" i="34"/>
  <c r="I31" i="34"/>
  <c r="I35" i="34"/>
  <c r="I39" i="34"/>
  <c r="I43" i="34"/>
  <c r="I47" i="34"/>
  <c r="I51" i="34"/>
  <c r="I55" i="34"/>
  <c r="I59" i="34"/>
  <c r="I63" i="34"/>
  <c r="J70" i="34"/>
  <c r="I66" i="34"/>
  <c r="J45" i="34"/>
  <c r="J29" i="34"/>
  <c r="J54" i="34"/>
  <c r="J22" i="34"/>
  <c r="J35" i="34"/>
  <c r="J6" i="34"/>
  <c r="J7" i="34"/>
  <c r="J17" i="34"/>
  <c r="J4" i="34"/>
  <c r="J24" i="34"/>
  <c r="I12" i="34"/>
  <c r="I16" i="34"/>
  <c r="I24" i="34"/>
  <c r="I32" i="34"/>
  <c r="I40" i="34"/>
  <c r="I44" i="34"/>
  <c r="I52" i="34"/>
  <c r="I60" i="34"/>
  <c r="J65" i="34"/>
  <c r="J57" i="34"/>
  <c r="J52" i="34"/>
  <c r="J34" i="34"/>
  <c r="K34" i="34" s="1"/>
  <c r="J31" i="34"/>
  <c r="J19" i="34"/>
  <c r="J44" i="34"/>
  <c r="J13" i="34"/>
  <c r="J32" i="34"/>
  <c r="K32" i="34" s="1"/>
  <c r="I9" i="34"/>
  <c r="I17" i="34"/>
  <c r="I25" i="34"/>
  <c r="I33" i="34"/>
  <c r="I41" i="34"/>
  <c r="I45" i="34"/>
  <c r="I53" i="34"/>
  <c r="I61" i="34"/>
  <c r="J69" i="34"/>
  <c r="J37" i="34"/>
  <c r="J62" i="34"/>
  <c r="J46" i="34"/>
  <c r="J43" i="34"/>
  <c r="J12" i="34"/>
  <c r="J40" i="34"/>
  <c r="J51" i="34"/>
  <c r="J36" i="34"/>
  <c r="I6" i="34"/>
  <c r="I14" i="34"/>
  <c r="I22" i="34"/>
  <c r="I30" i="34"/>
  <c r="J68" i="34"/>
  <c r="J61" i="34"/>
  <c r="J56" i="34"/>
  <c r="J38" i="34"/>
  <c r="J20" i="34"/>
  <c r="J59" i="34"/>
  <c r="J18" i="34"/>
  <c r="I8" i="34"/>
  <c r="I20" i="34"/>
  <c r="I28" i="34"/>
  <c r="I36" i="34"/>
  <c r="I48" i="34"/>
  <c r="I56" i="34"/>
  <c r="I64" i="34"/>
  <c r="I67" i="34"/>
  <c r="J41" i="34"/>
  <c r="J25" i="34"/>
  <c r="J50" i="34"/>
  <c r="J47" i="34"/>
  <c r="K47" i="34" s="1"/>
  <c r="J16" i="34"/>
  <c r="J55" i="34"/>
  <c r="J48" i="34"/>
  <c r="I5" i="34"/>
  <c r="I13" i="34"/>
  <c r="I21" i="34"/>
  <c r="I29" i="34"/>
  <c r="I37" i="34"/>
  <c r="I49" i="34"/>
  <c r="I57" i="34"/>
  <c r="J66" i="34"/>
  <c r="J53" i="34"/>
  <c r="J64" i="34"/>
  <c r="J30" i="34"/>
  <c r="J27" i="34"/>
  <c r="K27" i="34" s="1"/>
  <c r="J15" i="34"/>
  <c r="J9" i="34"/>
  <c r="J14" i="34"/>
  <c r="I10" i="34"/>
  <c r="I18" i="34"/>
  <c r="I26" i="34"/>
  <c r="I34" i="34"/>
  <c r="I42" i="34"/>
  <c r="I58" i="34"/>
  <c r="I46" i="34"/>
  <c r="I62" i="34"/>
  <c r="I50" i="34"/>
  <c r="I38" i="34"/>
  <c r="I54" i="34"/>
  <c r="I68" i="34"/>
  <c r="I69" i="34"/>
  <c r="G70" i="75"/>
  <c r="I70" i="75" s="1"/>
  <c r="E6" i="16"/>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F15" i="7"/>
  <c r="D15" i="7"/>
  <c r="D14" i="7"/>
  <c r="F14" i="7" s="1"/>
  <c r="D13" i="7"/>
  <c r="F13" i="7" s="1"/>
  <c r="D12" i="7"/>
  <c r="F12" i="7" s="1"/>
  <c r="D11" i="7"/>
  <c r="F11" i="7" s="1"/>
  <c r="D10" i="7"/>
  <c r="F10" i="7" s="1"/>
  <c r="D9" i="7"/>
  <c r="D8" i="7"/>
  <c r="D7" i="7"/>
  <c r="D6" i="7"/>
  <c r="D5" i="7"/>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F15" i="2" s="1"/>
  <c r="D14" i="2"/>
  <c r="D13" i="2"/>
  <c r="D12" i="2"/>
  <c r="D11" i="2"/>
  <c r="D10" i="2"/>
  <c r="D9" i="2"/>
  <c r="D8" i="2"/>
  <c r="D7" i="2"/>
  <c r="D6" i="2"/>
  <c r="D5" i="2"/>
  <c r="E5" i="2" s="1"/>
  <c r="D33" i="1"/>
  <c r="D32" i="1"/>
  <c r="D31" i="1"/>
  <c r="D30" i="1"/>
  <c r="D29" i="1"/>
  <c r="D28" i="1"/>
  <c r="D27" i="1"/>
  <c r="D26" i="1"/>
  <c r="D25" i="1"/>
  <c r="D24" i="1"/>
  <c r="D23" i="1"/>
  <c r="D22" i="1"/>
  <c r="D21" i="1"/>
  <c r="D20" i="1"/>
  <c r="D19" i="1"/>
  <c r="D18" i="1"/>
  <c r="D17" i="1"/>
  <c r="D16" i="1"/>
  <c r="D15" i="1"/>
  <c r="D14" i="1"/>
  <c r="D13" i="1"/>
  <c r="D12" i="1"/>
  <c r="D11" i="1"/>
  <c r="D10" i="1"/>
  <c r="D9" i="1"/>
  <c r="B10" i="1"/>
  <c r="E10" i="1" s="1"/>
  <c r="K22" i="34" l="1"/>
  <c r="K29" i="34"/>
  <c r="M3" i="34"/>
  <c r="Q9" i="1" s="1"/>
  <c r="E38" i="84" s="1"/>
  <c r="K14" i="34"/>
  <c r="K30" i="34"/>
  <c r="K25" i="34"/>
  <c r="K12" i="34"/>
  <c r="N6" i="34"/>
  <c r="K41" i="34"/>
  <c r="T7" i="81"/>
  <c r="N9" i="34"/>
  <c r="K9" i="34"/>
  <c r="K64" i="34"/>
  <c r="K16" i="34"/>
  <c r="N7" i="34"/>
  <c r="K19" i="34"/>
  <c r="K57" i="34"/>
  <c r="N8" i="34"/>
  <c r="T7" i="82"/>
  <c r="T9" i="82"/>
  <c r="T8" i="82"/>
  <c r="T6" i="82"/>
  <c r="T8" i="81"/>
  <c r="T9" i="81"/>
  <c r="T6" i="81"/>
  <c r="E77" i="80"/>
  <c r="K66" i="34"/>
  <c r="K48" i="34"/>
  <c r="K61" i="34"/>
  <c r="K40" i="34"/>
  <c r="K55" i="34"/>
  <c r="K20" i="34"/>
  <c r="K68" i="34"/>
  <c r="K37" i="34"/>
  <c r="K44" i="34"/>
  <c r="K52" i="34"/>
  <c r="K35" i="34"/>
  <c r="K10" i="34"/>
  <c r="K42" i="34"/>
  <c r="K49" i="34"/>
  <c r="K5" i="34"/>
  <c r="K36" i="34"/>
  <c r="K58" i="34"/>
  <c r="K50" i="34"/>
  <c r="K59" i="34"/>
  <c r="K62" i="34"/>
  <c r="K13" i="34"/>
  <c r="K24" i="34"/>
  <c r="K6" i="34"/>
  <c r="K28" i="34"/>
  <c r="K11" i="34"/>
  <c r="K26" i="34"/>
  <c r="K33" i="34"/>
  <c r="K45" i="34"/>
  <c r="K38" i="34"/>
  <c r="K43" i="34"/>
  <c r="K69" i="34"/>
  <c r="K17" i="34"/>
  <c r="K21" i="34"/>
  <c r="K23" i="34"/>
  <c r="K15" i="34"/>
  <c r="K53" i="34"/>
  <c r="K18" i="34"/>
  <c r="K56" i="34"/>
  <c r="K51" i="34"/>
  <c r="K46" i="34"/>
  <c r="K31" i="34"/>
  <c r="K65" i="34"/>
  <c r="K7" i="34"/>
  <c r="K54" i="34"/>
  <c r="K70" i="34"/>
  <c r="K8" i="34"/>
  <c r="K63" i="34"/>
  <c r="K39" i="34"/>
  <c r="K60" i="34"/>
  <c r="K67" i="34"/>
  <c r="J68" i="75"/>
  <c r="J64" i="75"/>
  <c r="J60" i="75"/>
  <c r="J56" i="75"/>
  <c r="J52" i="75"/>
  <c r="J48" i="75"/>
  <c r="J44" i="75"/>
  <c r="J40" i="75"/>
  <c r="J36" i="75"/>
  <c r="J32" i="75"/>
  <c r="J28" i="75"/>
  <c r="J24" i="75"/>
  <c r="J20" i="75"/>
  <c r="J16" i="75"/>
  <c r="J12" i="75"/>
  <c r="J10" i="75"/>
  <c r="J6" i="75"/>
  <c r="J69" i="75"/>
  <c r="J65" i="75"/>
  <c r="J61" i="75"/>
  <c r="J57" i="75"/>
  <c r="J53" i="75"/>
  <c r="J49" i="75"/>
  <c r="J45" i="75"/>
  <c r="J41" i="75"/>
  <c r="J37" i="75"/>
  <c r="J33" i="75"/>
  <c r="J29" i="75"/>
  <c r="J25" i="75"/>
  <c r="J21" i="75"/>
  <c r="J17" i="75"/>
  <c r="J13" i="75"/>
  <c r="J9" i="75"/>
  <c r="J5" i="75"/>
  <c r="J4" i="75"/>
  <c r="J70" i="75"/>
  <c r="J66" i="75"/>
  <c r="J62" i="75"/>
  <c r="J58" i="75"/>
  <c r="J54" i="75"/>
  <c r="J50" i="75"/>
  <c r="J46" i="75"/>
  <c r="J42" i="75"/>
  <c r="J38" i="75"/>
  <c r="J34" i="75"/>
  <c r="J30" i="75"/>
  <c r="J26" i="75"/>
  <c r="J22" i="75"/>
  <c r="J18" i="75"/>
  <c r="J14" i="75"/>
  <c r="J8" i="75"/>
  <c r="J67" i="75"/>
  <c r="J63" i="75"/>
  <c r="J59" i="75"/>
  <c r="J55" i="75"/>
  <c r="J51" i="75"/>
  <c r="J47" i="75"/>
  <c r="J43" i="75"/>
  <c r="J39" i="75"/>
  <c r="J35" i="75"/>
  <c r="J31" i="75"/>
  <c r="J27" i="75"/>
  <c r="J23" i="75"/>
  <c r="J19" i="75"/>
  <c r="J15" i="75"/>
  <c r="J11" i="75"/>
  <c r="J7" i="75"/>
  <c r="I5" i="75"/>
  <c r="I6" i="75"/>
  <c r="I7" i="75"/>
  <c r="I8" i="75"/>
  <c r="I9" i="75"/>
  <c r="I10" i="75"/>
  <c r="I11" i="75"/>
  <c r="I12" i="75"/>
  <c r="I13" i="75"/>
  <c r="I14" i="75"/>
  <c r="I15" i="75"/>
  <c r="I16" i="75"/>
  <c r="I17" i="75"/>
  <c r="I18" i="75"/>
  <c r="I19" i="75"/>
  <c r="I20" i="75"/>
  <c r="I21" i="75"/>
  <c r="I22" i="75"/>
  <c r="I23" i="75"/>
  <c r="I24" i="75"/>
  <c r="I25" i="75"/>
  <c r="I26" i="75"/>
  <c r="I27" i="75"/>
  <c r="I28" i="75"/>
  <c r="I29" i="75"/>
  <c r="I30" i="75"/>
  <c r="I31" i="75"/>
  <c r="I32" i="75"/>
  <c r="I33" i="75"/>
  <c r="I34" i="75"/>
  <c r="I35" i="75"/>
  <c r="I36" i="75"/>
  <c r="I37" i="75"/>
  <c r="I38" i="75"/>
  <c r="I39" i="75"/>
  <c r="I40" i="75"/>
  <c r="I41" i="75"/>
  <c r="I42" i="75"/>
  <c r="I43" i="75"/>
  <c r="I44" i="75"/>
  <c r="I45" i="75"/>
  <c r="I46" i="75"/>
  <c r="I47" i="75"/>
  <c r="I48" i="75"/>
  <c r="I49" i="75"/>
  <c r="I50" i="75"/>
  <c r="I51" i="75"/>
  <c r="I52" i="75"/>
  <c r="I53" i="75"/>
  <c r="I54" i="75"/>
  <c r="I55" i="75"/>
  <c r="I56" i="75"/>
  <c r="I57" i="75"/>
  <c r="I58" i="75"/>
  <c r="I59" i="75"/>
  <c r="I60" i="75"/>
  <c r="I61" i="75"/>
  <c r="I62" i="75"/>
  <c r="I63" i="75"/>
  <c r="I64" i="75"/>
  <c r="I65" i="75"/>
  <c r="I66" i="75"/>
  <c r="I67" i="75"/>
  <c r="I68" i="75"/>
  <c r="I69" i="75"/>
  <c r="B11" i="1"/>
  <c r="E7" i="16"/>
  <c r="E5" i="7"/>
  <c r="F10" i="1"/>
  <c r="E15" i="78" s="1"/>
  <c r="E6" i="2"/>
  <c r="B12" i="1" l="1"/>
  <c r="E12" i="1" s="1"/>
  <c r="E11" i="1"/>
  <c r="O6" i="34"/>
  <c r="O8" i="34"/>
  <c r="N6" i="75"/>
  <c r="N9" i="75"/>
  <c r="N8" i="75"/>
  <c r="N7" i="75"/>
  <c r="O7" i="34"/>
  <c r="O9" i="34"/>
  <c r="Q10" i="82"/>
  <c r="T10" i="82"/>
  <c r="T10" i="81"/>
  <c r="Q10" i="81"/>
  <c r="E78" i="80"/>
  <c r="K19" i="75"/>
  <c r="K35" i="75"/>
  <c r="K51" i="75"/>
  <c r="K67" i="75"/>
  <c r="K7" i="75"/>
  <c r="K26" i="75"/>
  <c r="K42" i="75"/>
  <c r="K58" i="75"/>
  <c r="K21" i="75"/>
  <c r="K37" i="75"/>
  <c r="K53" i="75"/>
  <c r="K69" i="75"/>
  <c r="K13" i="75"/>
  <c r="K29" i="75"/>
  <c r="K45" i="75"/>
  <c r="K61" i="75"/>
  <c r="K18" i="75"/>
  <c r="K34" i="75"/>
  <c r="K50" i="75"/>
  <c r="K66" i="75"/>
  <c r="K27" i="75"/>
  <c r="K43" i="75"/>
  <c r="K59" i="75"/>
  <c r="K5" i="75"/>
  <c r="K15" i="75"/>
  <c r="K31" i="75"/>
  <c r="K47" i="75"/>
  <c r="K63" i="75"/>
  <c r="K17" i="75"/>
  <c r="K33" i="75"/>
  <c r="K49" i="75"/>
  <c r="K65" i="75"/>
  <c r="K22" i="75"/>
  <c r="K38" i="75"/>
  <c r="K54" i="75"/>
  <c r="K70" i="75"/>
  <c r="K10" i="75"/>
  <c r="K24" i="75"/>
  <c r="K40" i="75"/>
  <c r="K56" i="75"/>
  <c r="K9" i="75"/>
  <c r="K25" i="75"/>
  <c r="K41" i="75"/>
  <c r="K57" i="75"/>
  <c r="K6" i="75"/>
  <c r="K20" i="75"/>
  <c r="K36" i="75"/>
  <c r="K52" i="75"/>
  <c r="K68" i="75"/>
  <c r="K11" i="75"/>
  <c r="K14" i="75"/>
  <c r="K30" i="75"/>
  <c r="K46" i="75"/>
  <c r="K62" i="75"/>
  <c r="K16" i="75"/>
  <c r="K32" i="75"/>
  <c r="K48" i="75"/>
  <c r="K64" i="75"/>
  <c r="K23" i="75"/>
  <c r="K39" i="75"/>
  <c r="K55" i="75"/>
  <c r="K8" i="75"/>
  <c r="K12" i="75"/>
  <c r="K28" i="75"/>
  <c r="K44" i="75"/>
  <c r="K60" i="75"/>
  <c r="M3" i="75"/>
  <c r="Q10" i="1" s="1"/>
  <c r="E39" i="84" s="1"/>
  <c r="E8" i="16"/>
  <c r="E6" i="7"/>
  <c r="E7" i="2"/>
  <c r="B13" i="1" l="1"/>
  <c r="O10" i="34"/>
  <c r="O7" i="75"/>
  <c r="O8" i="75"/>
  <c r="O9" i="75"/>
  <c r="O6" i="75"/>
  <c r="E79" i="80"/>
  <c r="L10" i="34"/>
  <c r="F2" i="7"/>
  <c r="E9" i="16"/>
  <c r="E7" i="7"/>
  <c r="E8" i="2"/>
  <c r="B14" i="1" l="1"/>
  <c r="E13" i="1"/>
  <c r="F13" i="1" s="1"/>
  <c r="F15" i="78" s="1"/>
  <c r="L10" i="75"/>
  <c r="O10" i="75"/>
  <c r="F79" i="7"/>
  <c r="F74" i="7"/>
  <c r="F71" i="7"/>
  <c r="F66" i="7"/>
  <c r="F63" i="7"/>
  <c r="F58" i="7"/>
  <c r="F55" i="7"/>
  <c r="F50" i="7"/>
  <c r="F47" i="7"/>
  <c r="F42" i="7"/>
  <c r="F39" i="7"/>
  <c r="F34" i="7"/>
  <c r="F31" i="7"/>
  <c r="F26" i="7"/>
  <c r="F23" i="7"/>
  <c r="F18" i="7"/>
  <c r="F7" i="7"/>
  <c r="G7" i="7" s="1"/>
  <c r="F78" i="7"/>
  <c r="F67" i="7"/>
  <c r="F62" i="7"/>
  <c r="F51" i="7"/>
  <c r="F46" i="7"/>
  <c r="F35" i="7"/>
  <c r="F30" i="7"/>
  <c r="F75" i="7"/>
  <c r="F70" i="7"/>
  <c r="F59" i="7"/>
  <c r="F54" i="7"/>
  <c r="F43" i="7"/>
  <c r="F38" i="7"/>
  <c r="F27" i="7"/>
  <c r="F8" i="7"/>
  <c r="F19" i="7"/>
  <c r="F22" i="7"/>
  <c r="F25" i="7"/>
  <c r="F17" i="7"/>
  <c r="F16" i="7"/>
  <c r="F48" i="7"/>
  <c r="F20" i="7"/>
  <c r="F52" i="7"/>
  <c r="F37" i="7"/>
  <c r="F69" i="7"/>
  <c r="F5" i="7"/>
  <c r="G5" i="7" s="1"/>
  <c r="F32" i="7"/>
  <c r="F64" i="7"/>
  <c r="F49" i="7"/>
  <c r="F36" i="7"/>
  <c r="F68" i="7"/>
  <c r="F57" i="7"/>
  <c r="F21" i="7"/>
  <c r="F53" i="7"/>
  <c r="F6" i="7"/>
  <c r="G6" i="7" s="1"/>
  <c r="F24" i="7"/>
  <c r="F56" i="7"/>
  <c r="F33" i="7"/>
  <c r="F28" i="7"/>
  <c r="F60" i="7"/>
  <c r="F41" i="7"/>
  <c r="F45" i="7"/>
  <c r="F77" i="7"/>
  <c r="F40" i="7"/>
  <c r="F72" i="7"/>
  <c r="F65" i="7"/>
  <c r="F9" i="7"/>
  <c r="F44" i="7"/>
  <c r="F76" i="7"/>
  <c r="F73" i="7"/>
  <c r="F29" i="7"/>
  <c r="F61" i="7"/>
  <c r="E10" i="16"/>
  <c r="E8" i="7"/>
  <c r="E9" i="2"/>
  <c r="E14" i="1" l="1"/>
  <c r="B15" i="1"/>
  <c r="E11" i="16"/>
  <c r="E9" i="7"/>
  <c r="G8" i="7"/>
  <c r="E10" i="2"/>
  <c r="E15" i="1" l="1"/>
  <c r="B16" i="1"/>
  <c r="E12" i="16"/>
  <c r="E10" i="7"/>
  <c r="G9" i="7"/>
  <c r="E11" i="2"/>
  <c r="E16" i="1" l="1"/>
  <c r="B17" i="1"/>
  <c r="E13" i="16"/>
  <c r="E11" i="7"/>
  <c r="G10" i="7"/>
  <c r="E12" i="2"/>
  <c r="E17" i="1" l="1"/>
  <c r="B18" i="1"/>
  <c r="F2" i="2"/>
  <c r="E14" i="16"/>
  <c r="E12" i="7"/>
  <c r="G11" i="7"/>
  <c r="E13" i="2"/>
  <c r="E18" i="1" l="1"/>
  <c r="F18" i="1" s="1"/>
  <c r="G15" i="78" s="1"/>
  <c r="B19" i="1"/>
  <c r="F39" i="2"/>
  <c r="F27" i="2"/>
  <c r="F19" i="2"/>
  <c r="F13" i="2"/>
  <c r="G13" i="2" s="1"/>
  <c r="F79" i="2"/>
  <c r="F76" i="2"/>
  <c r="F71" i="2"/>
  <c r="F68" i="2"/>
  <c r="F63" i="2"/>
  <c r="F60" i="2"/>
  <c r="F55" i="2"/>
  <c r="F52" i="2"/>
  <c r="F47" i="2"/>
  <c r="F44" i="2"/>
  <c r="F33" i="2"/>
  <c r="F21" i="2"/>
  <c r="F9" i="2"/>
  <c r="G9" i="2" s="1"/>
  <c r="F37" i="2"/>
  <c r="F75" i="2"/>
  <c r="F59" i="2"/>
  <c r="F43" i="2"/>
  <c r="F23" i="2"/>
  <c r="F8" i="2"/>
  <c r="G8" i="2" s="1"/>
  <c r="F67" i="2"/>
  <c r="F64" i="2"/>
  <c r="F51" i="2"/>
  <c r="F48" i="2"/>
  <c r="F35" i="2"/>
  <c r="F14" i="2"/>
  <c r="F72" i="2"/>
  <c r="F56" i="2"/>
  <c r="F25" i="2"/>
  <c r="F5" i="2"/>
  <c r="G5" i="2" s="1"/>
  <c r="F46" i="2"/>
  <c r="F11" i="2"/>
  <c r="G11" i="2" s="1"/>
  <c r="F38" i="2"/>
  <c r="F62" i="2"/>
  <c r="F54" i="2"/>
  <c r="F30" i="2"/>
  <c r="F58" i="2"/>
  <c r="F31" i="2"/>
  <c r="F61" i="2"/>
  <c r="F26" i="2"/>
  <c r="F28" i="2"/>
  <c r="F12" i="2"/>
  <c r="G12" i="2" s="1"/>
  <c r="F49" i="2"/>
  <c r="F17" i="2"/>
  <c r="F70" i="2"/>
  <c r="F7" i="2"/>
  <c r="G7" i="2" s="1"/>
  <c r="F42" i="2"/>
  <c r="F74" i="2"/>
  <c r="F16" i="2"/>
  <c r="F45" i="2"/>
  <c r="F77" i="2"/>
  <c r="F78" i="2"/>
  <c r="F6" i="2"/>
  <c r="G6" i="2" s="1"/>
  <c r="F18" i="2"/>
  <c r="F57" i="2"/>
  <c r="F36" i="2"/>
  <c r="F66" i="2"/>
  <c r="F10" i="2"/>
  <c r="G10" i="2" s="1"/>
  <c r="F34" i="2"/>
  <c r="F69" i="2"/>
  <c r="F40" i="2"/>
  <c r="F32" i="2"/>
  <c r="F29" i="2"/>
  <c r="F20" i="2"/>
  <c r="F65" i="2"/>
  <c r="F41" i="2"/>
  <c r="F73" i="2"/>
  <c r="F24" i="2"/>
  <c r="F50" i="2"/>
  <c r="F22" i="2"/>
  <c r="F53" i="2"/>
  <c r="E15" i="16"/>
  <c r="E13" i="7"/>
  <c r="G12" i="7"/>
  <c r="E14" i="2"/>
  <c r="E19" i="1" l="1"/>
  <c r="B20" i="1"/>
  <c r="E16" i="16"/>
  <c r="E14" i="7"/>
  <c r="G13" i="7"/>
  <c r="E15" i="2"/>
  <c r="G14" i="2"/>
  <c r="E20" i="1" l="1"/>
  <c r="B21" i="1"/>
  <c r="E17" i="16"/>
  <c r="E15" i="7"/>
  <c r="G14" i="7"/>
  <c r="E16" i="2"/>
  <c r="G15" i="2"/>
  <c r="E21" i="1" l="1"/>
  <c r="B22" i="1"/>
  <c r="E18" i="16"/>
  <c r="E16" i="7"/>
  <c r="G15" i="7"/>
  <c r="E17" i="2"/>
  <c r="G16" i="2"/>
  <c r="E22" i="1" l="1"/>
  <c r="B23" i="1"/>
  <c r="F2" i="16"/>
  <c r="E19" i="16"/>
  <c r="E17" i="7"/>
  <c r="G16" i="7"/>
  <c r="E18" i="2"/>
  <c r="G17" i="2"/>
  <c r="E23" i="1" l="1"/>
  <c r="B24" i="1"/>
  <c r="F76" i="16"/>
  <c r="F73" i="16"/>
  <c r="F68" i="16"/>
  <c r="F65" i="16"/>
  <c r="F60" i="16"/>
  <c r="F57" i="16"/>
  <c r="F52" i="16"/>
  <c r="F49" i="16"/>
  <c r="F44" i="16"/>
  <c r="F41" i="16"/>
  <c r="F36" i="16"/>
  <c r="F33" i="16"/>
  <c r="F28" i="16"/>
  <c r="F25" i="16"/>
  <c r="F23" i="16"/>
  <c r="F11" i="16"/>
  <c r="G11" i="16" s="1"/>
  <c r="F6" i="16"/>
  <c r="G6" i="16" s="1"/>
  <c r="F19" i="16"/>
  <c r="G19" i="16" s="1"/>
  <c r="F16" i="16"/>
  <c r="G16" i="16" s="1"/>
  <c r="F77" i="16"/>
  <c r="F64" i="16"/>
  <c r="F61" i="16"/>
  <c r="F48" i="16"/>
  <c r="F45" i="16"/>
  <c r="F32" i="16"/>
  <c r="F29" i="16"/>
  <c r="F72" i="16"/>
  <c r="F69" i="16"/>
  <c r="F56" i="16"/>
  <c r="F53" i="16"/>
  <c r="F40" i="16"/>
  <c r="F37" i="16"/>
  <c r="F24" i="16"/>
  <c r="F10" i="16"/>
  <c r="G10" i="16" s="1"/>
  <c r="F7" i="16"/>
  <c r="G7" i="16" s="1"/>
  <c r="F12" i="16"/>
  <c r="G12" i="16" s="1"/>
  <c r="F75" i="16"/>
  <c r="F22" i="16"/>
  <c r="F18" i="16"/>
  <c r="G18" i="16" s="1"/>
  <c r="F42" i="16"/>
  <c r="F74" i="16"/>
  <c r="F38" i="16"/>
  <c r="F70" i="16"/>
  <c r="F17" i="16"/>
  <c r="G17" i="16" s="1"/>
  <c r="F55" i="16"/>
  <c r="F59" i="16"/>
  <c r="F35" i="16"/>
  <c r="F21" i="16"/>
  <c r="F50" i="16"/>
  <c r="F8" i="16"/>
  <c r="G8" i="16" s="1"/>
  <c r="F46" i="16"/>
  <c r="F78" i="16"/>
  <c r="F31" i="16"/>
  <c r="F63" i="16"/>
  <c r="F43" i="16"/>
  <c r="F67" i="16"/>
  <c r="F15" i="16"/>
  <c r="G15" i="16" s="1"/>
  <c r="F34" i="16"/>
  <c r="F66" i="16"/>
  <c r="F30" i="16"/>
  <c r="F62" i="16"/>
  <c r="F14" i="16"/>
  <c r="G14" i="16" s="1"/>
  <c r="F47" i="16"/>
  <c r="F79" i="16"/>
  <c r="F5" i="16"/>
  <c r="G5" i="16" s="1"/>
  <c r="F27" i="16"/>
  <c r="F51" i="16"/>
  <c r="F26" i="16"/>
  <c r="F54" i="16"/>
  <c r="F39" i="16"/>
  <c r="F58" i="16"/>
  <c r="F71" i="16"/>
  <c r="F13" i="16"/>
  <c r="G13" i="16" s="1"/>
  <c r="F9" i="16"/>
  <c r="G9" i="16" s="1"/>
  <c r="E20" i="16"/>
  <c r="E18" i="7"/>
  <c r="G17" i="7"/>
  <c r="E19" i="2"/>
  <c r="G18" i="2"/>
  <c r="E24" i="1" l="1"/>
  <c r="B25" i="1"/>
  <c r="E21" i="16"/>
  <c r="G20" i="16"/>
  <c r="E19" i="7"/>
  <c r="G18" i="7"/>
  <c r="E20" i="2"/>
  <c r="G19" i="2"/>
  <c r="E25" i="1" l="1"/>
  <c r="B26" i="1"/>
  <c r="E22" i="16"/>
  <c r="G21" i="16"/>
  <c r="E20" i="7"/>
  <c r="G19" i="7"/>
  <c r="E21" i="2"/>
  <c r="G20" i="2"/>
  <c r="E26" i="1" l="1"/>
  <c r="B27" i="1"/>
  <c r="E23" i="16"/>
  <c r="G22" i="16"/>
  <c r="E21" i="7"/>
  <c r="G20" i="7"/>
  <c r="E22" i="2"/>
  <c r="G21" i="2"/>
  <c r="E27" i="1" l="1"/>
  <c r="B28" i="1"/>
  <c r="E24" i="16"/>
  <c r="G23" i="16"/>
  <c r="E22" i="7"/>
  <c r="G21" i="7"/>
  <c r="G22" i="2"/>
  <c r="E23" i="2"/>
  <c r="E28" i="1" l="1"/>
  <c r="B29" i="1"/>
  <c r="E25" i="16"/>
  <c r="G24" i="16"/>
  <c r="E23" i="7"/>
  <c r="G22" i="7"/>
  <c r="E24" i="2"/>
  <c r="G23" i="2"/>
  <c r="E29" i="1" l="1"/>
  <c r="B30" i="1"/>
  <c r="E26" i="16"/>
  <c r="G25" i="16"/>
  <c r="E24" i="7"/>
  <c r="G23" i="7"/>
  <c r="E25" i="2"/>
  <c r="G24" i="2"/>
  <c r="E30" i="1" l="1"/>
  <c r="B31" i="1"/>
  <c r="E27" i="16"/>
  <c r="G26" i="16"/>
  <c r="E25" i="7"/>
  <c r="G24" i="7"/>
  <c r="E26" i="2"/>
  <c r="G25" i="2"/>
  <c r="E31" i="1" l="1"/>
  <c r="B32" i="1"/>
  <c r="F2" i="80"/>
  <c r="E28" i="16"/>
  <c r="G27" i="16"/>
  <c r="E26" i="7"/>
  <c r="G25" i="7"/>
  <c r="E27" i="2"/>
  <c r="G26" i="2"/>
  <c r="E32" i="1" l="1"/>
  <c r="B33" i="1"/>
  <c r="F66" i="80"/>
  <c r="G66" i="80" s="1"/>
  <c r="F78" i="80"/>
  <c r="G78" i="80" s="1"/>
  <c r="F73" i="80"/>
  <c r="G73" i="80" s="1"/>
  <c r="F70" i="80"/>
  <c r="G70" i="80" s="1"/>
  <c r="F55" i="80"/>
  <c r="G55" i="80" s="1"/>
  <c r="F53" i="80"/>
  <c r="G53" i="80" s="1"/>
  <c r="F46" i="80"/>
  <c r="G46" i="80" s="1"/>
  <c r="F38" i="80"/>
  <c r="G38" i="80" s="1"/>
  <c r="F23" i="80"/>
  <c r="G23" i="80" s="1"/>
  <c r="F57" i="80"/>
  <c r="G57" i="80" s="1"/>
  <c r="F42" i="80"/>
  <c r="G42" i="80" s="1"/>
  <c r="F25" i="80"/>
  <c r="G25" i="80" s="1"/>
  <c r="F19" i="80"/>
  <c r="G19" i="80" s="1"/>
  <c r="F11" i="80"/>
  <c r="G11" i="80" s="1"/>
  <c r="F6" i="80"/>
  <c r="G6" i="80" s="1"/>
  <c r="F7" i="80"/>
  <c r="G7" i="80" s="1"/>
  <c r="F77" i="80"/>
  <c r="G77" i="80" s="1"/>
  <c r="F74" i="80"/>
  <c r="G74" i="80" s="1"/>
  <c r="F69" i="80"/>
  <c r="G69" i="80" s="1"/>
  <c r="F62" i="80"/>
  <c r="G62" i="80" s="1"/>
  <c r="F54" i="80"/>
  <c r="G54" i="80" s="1"/>
  <c r="F39" i="80"/>
  <c r="G39" i="80" s="1"/>
  <c r="F37" i="80"/>
  <c r="G37" i="80" s="1"/>
  <c r="F58" i="80"/>
  <c r="G58" i="80" s="1"/>
  <c r="F41" i="80"/>
  <c r="G41" i="80" s="1"/>
  <c r="F26" i="80"/>
  <c r="G26" i="80" s="1"/>
  <c r="F18" i="80"/>
  <c r="G18" i="80" s="1"/>
  <c r="F15" i="80"/>
  <c r="G15" i="80" s="1"/>
  <c r="F12" i="80"/>
  <c r="G12" i="80" s="1"/>
  <c r="F10" i="80"/>
  <c r="G10" i="80" s="1"/>
  <c r="F5" i="80"/>
  <c r="G5" i="80" s="1"/>
  <c r="F33" i="80"/>
  <c r="G33" i="80" s="1"/>
  <c r="F8" i="80"/>
  <c r="G8" i="80" s="1"/>
  <c r="F27" i="80"/>
  <c r="G27" i="80" s="1"/>
  <c r="F72" i="80"/>
  <c r="G72" i="80" s="1"/>
  <c r="F31" i="80"/>
  <c r="G31" i="80" s="1"/>
  <c r="F51" i="80"/>
  <c r="G51" i="80" s="1"/>
  <c r="F16" i="80"/>
  <c r="G16" i="80" s="1"/>
  <c r="F48" i="80"/>
  <c r="G48" i="80" s="1"/>
  <c r="F14" i="80"/>
  <c r="G14" i="80" s="1"/>
  <c r="F49" i="80"/>
  <c r="G49" i="80" s="1"/>
  <c r="F29" i="80"/>
  <c r="G29" i="80" s="1"/>
  <c r="F64" i="80"/>
  <c r="G64" i="80" s="1"/>
  <c r="F34" i="80"/>
  <c r="G34" i="80" s="1"/>
  <c r="F28" i="80"/>
  <c r="G28" i="80" s="1"/>
  <c r="F60" i="80"/>
  <c r="G60" i="80" s="1"/>
  <c r="F79" i="80"/>
  <c r="G79" i="80" s="1"/>
  <c r="F43" i="80"/>
  <c r="G43" i="80" s="1"/>
  <c r="F21" i="80"/>
  <c r="G21" i="80" s="1"/>
  <c r="F44" i="80"/>
  <c r="G44" i="80" s="1"/>
  <c r="F71" i="80"/>
  <c r="G71" i="80" s="1"/>
  <c r="F47" i="80"/>
  <c r="G47" i="80" s="1"/>
  <c r="F45" i="80"/>
  <c r="G45" i="80" s="1"/>
  <c r="F9" i="80"/>
  <c r="G9" i="80" s="1"/>
  <c r="F35" i="80"/>
  <c r="G35" i="80" s="1"/>
  <c r="F20" i="80"/>
  <c r="G20" i="80" s="1"/>
  <c r="F61" i="80"/>
  <c r="G61" i="80" s="1"/>
  <c r="F24" i="80"/>
  <c r="G24" i="80" s="1"/>
  <c r="F52" i="80"/>
  <c r="G52" i="80" s="1"/>
  <c r="F65" i="80"/>
  <c r="G65" i="80" s="1"/>
  <c r="F22" i="80"/>
  <c r="G22" i="80" s="1"/>
  <c r="F59" i="80"/>
  <c r="G59" i="80" s="1"/>
  <c r="F17" i="80"/>
  <c r="G17" i="80" s="1"/>
  <c r="F63" i="80"/>
  <c r="G63" i="80" s="1"/>
  <c r="F32" i="80"/>
  <c r="G32" i="80" s="1"/>
  <c r="F76" i="80"/>
  <c r="G76" i="80" s="1"/>
  <c r="F40" i="80"/>
  <c r="G40" i="80" s="1"/>
  <c r="F36" i="80"/>
  <c r="G36" i="80" s="1"/>
  <c r="F68" i="80"/>
  <c r="G68" i="80" s="1"/>
  <c r="F67" i="80"/>
  <c r="G67" i="80" s="1"/>
  <c r="F50" i="80"/>
  <c r="G50" i="80" s="1"/>
  <c r="F13" i="80"/>
  <c r="G13" i="80" s="1"/>
  <c r="F56" i="80"/>
  <c r="G56" i="80" s="1"/>
  <c r="F75" i="80"/>
  <c r="G75" i="80" s="1"/>
  <c r="E29" i="16"/>
  <c r="G28" i="16"/>
  <c r="E27" i="7"/>
  <c r="G26" i="7"/>
  <c r="E28" i="2"/>
  <c r="G27" i="2"/>
  <c r="E33" i="1" l="1"/>
  <c r="B34" i="1"/>
  <c r="E30" i="16"/>
  <c r="G29" i="16"/>
  <c r="E28" i="7"/>
  <c r="G27" i="7"/>
  <c r="E29" i="2"/>
  <c r="G28" i="2"/>
  <c r="E34" i="1" l="1"/>
  <c r="B35" i="1"/>
  <c r="J78" i="80"/>
  <c r="J70" i="80"/>
  <c r="J67" i="80"/>
  <c r="J51" i="80"/>
  <c r="J35" i="80"/>
  <c r="J68" i="80"/>
  <c r="J36" i="80"/>
  <c r="J77" i="80"/>
  <c r="J17" i="80"/>
  <c r="J61" i="80"/>
  <c r="J12" i="80"/>
  <c r="J58" i="80"/>
  <c r="J42" i="80"/>
  <c r="J26" i="80"/>
  <c r="J15" i="80"/>
  <c r="J72" i="80"/>
  <c r="J14" i="80"/>
  <c r="J50" i="80"/>
  <c r="J32" i="80"/>
  <c r="J5" i="80"/>
  <c r="I7" i="80"/>
  <c r="I11" i="80"/>
  <c r="I15" i="80"/>
  <c r="I19" i="80"/>
  <c r="I23" i="80"/>
  <c r="I27" i="80"/>
  <c r="I31" i="80"/>
  <c r="I35" i="80"/>
  <c r="I39" i="80"/>
  <c r="I43" i="80"/>
  <c r="I47" i="80"/>
  <c r="I51" i="80"/>
  <c r="I55" i="80"/>
  <c r="I59" i="80"/>
  <c r="I63" i="80"/>
  <c r="I67" i="80"/>
  <c r="I71" i="80"/>
  <c r="I75" i="80"/>
  <c r="I79" i="80"/>
  <c r="J59" i="80"/>
  <c r="J40" i="80"/>
  <c r="J9" i="80"/>
  <c r="J33" i="80"/>
  <c r="K33" i="80" s="1"/>
  <c r="J22" i="80"/>
  <c r="I9" i="80"/>
  <c r="I17" i="80"/>
  <c r="I25" i="80"/>
  <c r="I33" i="80"/>
  <c r="I41" i="80"/>
  <c r="I53" i="80"/>
  <c r="I61" i="80"/>
  <c r="I69" i="80"/>
  <c r="I77" i="80"/>
  <c r="J74" i="80"/>
  <c r="J71" i="80"/>
  <c r="J55" i="80"/>
  <c r="J39" i="80"/>
  <c r="J23" i="80"/>
  <c r="J44" i="80"/>
  <c r="J16" i="80"/>
  <c r="J37" i="80"/>
  <c r="J73" i="80"/>
  <c r="J21" i="80"/>
  <c r="J76" i="80"/>
  <c r="J54" i="80"/>
  <c r="J38" i="80"/>
  <c r="J18" i="80"/>
  <c r="J4" i="80"/>
  <c r="J62" i="80"/>
  <c r="J19" i="80"/>
  <c r="J34" i="80"/>
  <c r="K34" i="80" s="1"/>
  <c r="J11" i="80"/>
  <c r="I6" i="80"/>
  <c r="I10" i="80"/>
  <c r="I14" i="80"/>
  <c r="I18" i="80"/>
  <c r="I22" i="80"/>
  <c r="I26" i="80"/>
  <c r="I30" i="80"/>
  <c r="I34" i="80"/>
  <c r="I38" i="80"/>
  <c r="I42" i="80"/>
  <c r="I46" i="80"/>
  <c r="I50" i="80"/>
  <c r="I54" i="80"/>
  <c r="I58" i="80"/>
  <c r="J79" i="80"/>
  <c r="J63" i="80"/>
  <c r="J47" i="80"/>
  <c r="J31" i="80"/>
  <c r="J60" i="80"/>
  <c r="J28" i="80"/>
  <c r="J69" i="80"/>
  <c r="J8" i="80"/>
  <c r="J45" i="80"/>
  <c r="K45" i="80" s="1"/>
  <c r="J10" i="80"/>
  <c r="J57" i="80"/>
  <c r="J41" i="80"/>
  <c r="J25" i="80"/>
  <c r="J13" i="80"/>
  <c r="J65" i="80"/>
  <c r="J49" i="80"/>
  <c r="J48" i="80"/>
  <c r="J30" i="80"/>
  <c r="J7" i="80"/>
  <c r="I8" i="80"/>
  <c r="I12" i="80"/>
  <c r="I16" i="80"/>
  <c r="I20" i="80"/>
  <c r="I24" i="80"/>
  <c r="I28" i="80"/>
  <c r="I32" i="80"/>
  <c r="I36" i="80"/>
  <c r="I40" i="80"/>
  <c r="I44" i="80"/>
  <c r="I48" i="80"/>
  <c r="I52" i="80"/>
  <c r="I56" i="80"/>
  <c r="I60" i="80"/>
  <c r="I64" i="80"/>
  <c r="I68" i="80"/>
  <c r="I72" i="80"/>
  <c r="I76" i="80"/>
  <c r="J75" i="80"/>
  <c r="J43" i="80"/>
  <c r="K43" i="80" s="1"/>
  <c r="J27" i="80"/>
  <c r="K27" i="80" s="1"/>
  <c r="J52" i="80"/>
  <c r="J20" i="80"/>
  <c r="J53" i="80"/>
  <c r="J66" i="80"/>
  <c r="J29" i="80"/>
  <c r="J6" i="80"/>
  <c r="K6" i="80" s="1"/>
  <c r="J56" i="80"/>
  <c r="J24" i="80"/>
  <c r="K24" i="80" s="1"/>
  <c r="J64" i="80"/>
  <c r="J46" i="80"/>
  <c r="I5" i="80"/>
  <c r="I13" i="80"/>
  <c r="I21" i="80"/>
  <c r="I29" i="80"/>
  <c r="I37" i="80"/>
  <c r="I45" i="80"/>
  <c r="I49" i="80"/>
  <c r="I57" i="80"/>
  <c r="I65" i="80"/>
  <c r="I73" i="80"/>
  <c r="I62" i="80"/>
  <c r="I78" i="80"/>
  <c r="I66" i="80"/>
  <c r="I70" i="80"/>
  <c r="I74" i="80"/>
  <c r="E31" i="16"/>
  <c r="G30" i="16"/>
  <c r="E29" i="7"/>
  <c r="G28" i="7"/>
  <c r="E30" i="2"/>
  <c r="G29" i="2"/>
  <c r="E35" i="1" l="1"/>
  <c r="B36" i="1"/>
  <c r="K59" i="80"/>
  <c r="K79" i="80"/>
  <c r="K63" i="80"/>
  <c r="K48" i="80"/>
  <c r="K18" i="80"/>
  <c r="K46" i="80"/>
  <c r="K20" i="80"/>
  <c r="K75" i="80"/>
  <c r="K30" i="80"/>
  <c r="K13" i="80"/>
  <c r="K10" i="80"/>
  <c r="K16" i="80"/>
  <c r="K55" i="80"/>
  <c r="K22" i="80"/>
  <c r="K72" i="80"/>
  <c r="K58" i="80"/>
  <c r="K37" i="80"/>
  <c r="K66" i="80"/>
  <c r="N7" i="80"/>
  <c r="K49" i="80"/>
  <c r="K41" i="80"/>
  <c r="K8" i="80"/>
  <c r="K19" i="80"/>
  <c r="K38" i="80"/>
  <c r="K73" i="80"/>
  <c r="K26" i="80"/>
  <c r="K61" i="80"/>
  <c r="K68" i="80"/>
  <c r="K70" i="80"/>
  <c r="K28" i="80"/>
  <c r="K51" i="80"/>
  <c r="K15" i="80"/>
  <c r="K36" i="80"/>
  <c r="K11" i="80"/>
  <c r="K76" i="80"/>
  <c r="K5" i="80"/>
  <c r="K77" i="80"/>
  <c r="K64" i="80"/>
  <c r="K29" i="80"/>
  <c r="K52" i="80"/>
  <c r="N8" i="80"/>
  <c r="K25" i="80"/>
  <c r="K60" i="80"/>
  <c r="K21" i="80"/>
  <c r="K44" i="80"/>
  <c r="K71" i="80"/>
  <c r="K32" i="80"/>
  <c r="K12" i="80"/>
  <c r="K67" i="80"/>
  <c r="K31" i="80"/>
  <c r="K23" i="80"/>
  <c r="K74" i="80"/>
  <c r="K9" i="80"/>
  <c r="K50" i="80"/>
  <c r="N6" i="80"/>
  <c r="M3" i="80"/>
  <c r="K12" i="1" s="1"/>
  <c r="B19" i="78" s="1"/>
  <c r="N15" i="84" s="1"/>
  <c r="K56" i="80"/>
  <c r="K53" i="80"/>
  <c r="N9" i="80"/>
  <c r="K7" i="80"/>
  <c r="K65" i="80"/>
  <c r="K57" i="80"/>
  <c r="K69" i="80"/>
  <c r="K47" i="80"/>
  <c r="K62" i="80"/>
  <c r="K54" i="80"/>
  <c r="K39" i="80"/>
  <c r="K40" i="80"/>
  <c r="K14" i="80"/>
  <c r="K42" i="80"/>
  <c r="K17" i="80"/>
  <c r="K35" i="80"/>
  <c r="K78" i="80"/>
  <c r="E32" i="16"/>
  <c r="G31" i="16"/>
  <c r="E30" i="7"/>
  <c r="G29" i="7"/>
  <c r="E31" i="2"/>
  <c r="G30" i="2"/>
  <c r="E36" i="1" l="1"/>
  <c r="B37" i="1"/>
  <c r="O8" i="80"/>
  <c r="O9" i="80"/>
  <c r="O6" i="80"/>
  <c r="O7" i="80"/>
  <c r="E33" i="16"/>
  <c r="G32" i="16"/>
  <c r="E31" i="7"/>
  <c r="G30" i="7"/>
  <c r="E32" i="2"/>
  <c r="G31" i="2"/>
  <c r="E37" i="1" l="1"/>
  <c r="B38" i="1"/>
  <c r="O10" i="80"/>
  <c r="L10" i="80"/>
  <c r="E34" i="16"/>
  <c r="G33" i="16"/>
  <c r="E32" i="7"/>
  <c r="G31" i="7"/>
  <c r="E33" i="2"/>
  <c r="G32" i="2"/>
  <c r="E38" i="1" l="1"/>
  <c r="F38" i="1" s="1"/>
  <c r="H15" i="78" s="1"/>
  <c r="E35" i="16"/>
  <c r="G34" i="16"/>
  <c r="E33" i="7"/>
  <c r="G32" i="7"/>
  <c r="G33" i="2"/>
  <c r="E34" i="2"/>
  <c r="D19" i="78" l="1"/>
  <c r="O15" i="84" s="1"/>
  <c r="D17" i="78"/>
  <c r="O13" i="84" s="1"/>
  <c r="D18" i="78"/>
  <c r="O14" i="84" s="1"/>
  <c r="D16" i="78"/>
  <c r="O12" i="84" s="1"/>
  <c r="E36" i="16"/>
  <c r="G35" i="16"/>
  <c r="E34" i="7"/>
  <c r="G33" i="7"/>
  <c r="E35" i="2"/>
  <c r="G34" i="2"/>
  <c r="E37" i="16" l="1"/>
  <c r="G36" i="16"/>
  <c r="E35" i="7"/>
  <c r="G34" i="7"/>
  <c r="G35" i="2"/>
  <c r="E36" i="2"/>
  <c r="E38" i="16" l="1"/>
  <c r="G37" i="16"/>
  <c r="E36" i="7"/>
  <c r="G35" i="7"/>
  <c r="E37" i="2"/>
  <c r="G36" i="2"/>
  <c r="E39" i="16" l="1"/>
  <c r="G38" i="16"/>
  <c r="E37" i="7"/>
  <c r="G36" i="7"/>
  <c r="E38" i="2"/>
  <c r="G37" i="2"/>
  <c r="E40" i="16" l="1"/>
  <c r="G39" i="16"/>
  <c r="E38" i="7"/>
  <c r="G37" i="7"/>
  <c r="E39" i="2"/>
  <c r="G38" i="2"/>
  <c r="E41" i="16" l="1"/>
  <c r="G40" i="16"/>
  <c r="E39" i="7"/>
  <c r="G38" i="7"/>
  <c r="E40" i="2"/>
  <c r="G39" i="2"/>
  <c r="E42" i="16" l="1"/>
  <c r="G41" i="16"/>
  <c r="E40" i="7"/>
  <c r="G39" i="7"/>
  <c r="E41" i="2"/>
  <c r="G40" i="2"/>
  <c r="E43" i="16" l="1"/>
  <c r="G42" i="16"/>
  <c r="E41" i="7"/>
  <c r="G40" i="7"/>
  <c r="E42" i="2"/>
  <c r="G41" i="2"/>
  <c r="E44" i="16" l="1"/>
  <c r="G43" i="16"/>
  <c r="E42" i="7"/>
  <c r="G41" i="7"/>
  <c r="E43" i="2"/>
  <c r="G42" i="2"/>
  <c r="E45" i="16" l="1"/>
  <c r="G44" i="16"/>
  <c r="E43" i="7"/>
  <c r="G42" i="7"/>
  <c r="E44" i="2"/>
  <c r="G43" i="2"/>
  <c r="E46" i="16" l="1"/>
  <c r="G45" i="16"/>
  <c r="E44" i="7"/>
  <c r="G43" i="7"/>
  <c r="E45" i="2"/>
  <c r="G44" i="2"/>
  <c r="E47" i="16" l="1"/>
  <c r="G46" i="16"/>
  <c r="E45" i="7"/>
  <c r="G44" i="7"/>
  <c r="E46" i="2"/>
  <c r="G45" i="2"/>
  <c r="E48" i="16" l="1"/>
  <c r="G47" i="16"/>
  <c r="E46" i="7"/>
  <c r="G45" i="7"/>
  <c r="E47" i="2"/>
  <c r="G46" i="2"/>
  <c r="E49" i="16" l="1"/>
  <c r="G48" i="16"/>
  <c r="E47" i="7"/>
  <c r="G46" i="7"/>
  <c r="E48" i="2"/>
  <c r="G47" i="2"/>
  <c r="E50" i="16" l="1"/>
  <c r="G49" i="16"/>
  <c r="E48" i="7"/>
  <c r="G47" i="7"/>
  <c r="E49" i="2"/>
  <c r="G48" i="2"/>
  <c r="E51" i="16" l="1"/>
  <c r="G50" i="16"/>
  <c r="E49" i="7"/>
  <c r="G48" i="7"/>
  <c r="E50" i="2"/>
  <c r="G49" i="2"/>
  <c r="E52" i="16" l="1"/>
  <c r="G51" i="16"/>
  <c r="E50" i="7"/>
  <c r="G49" i="7"/>
  <c r="E51" i="2"/>
  <c r="G50" i="2"/>
  <c r="E53" i="16" l="1"/>
  <c r="G52" i="16"/>
  <c r="E51" i="7"/>
  <c r="G50" i="7"/>
  <c r="E52" i="2"/>
  <c r="G51" i="2"/>
  <c r="E54" i="16" l="1"/>
  <c r="G53" i="16"/>
  <c r="E52" i="7"/>
  <c r="G51" i="7"/>
  <c r="E53" i="2"/>
  <c r="G52" i="2"/>
  <c r="E55" i="16" l="1"/>
  <c r="G54" i="16"/>
  <c r="E53" i="7"/>
  <c r="G52" i="7"/>
  <c r="E54" i="2"/>
  <c r="G53" i="2"/>
  <c r="E56" i="16" l="1"/>
  <c r="G55" i="16"/>
  <c r="E54" i="7"/>
  <c r="G53" i="7"/>
  <c r="E55" i="2"/>
  <c r="G54" i="2"/>
  <c r="E57" i="16" l="1"/>
  <c r="G56" i="16"/>
  <c r="E55" i="7"/>
  <c r="G54" i="7"/>
  <c r="E56" i="2"/>
  <c r="G55" i="2"/>
  <c r="E58" i="16" l="1"/>
  <c r="G57" i="16"/>
  <c r="E56" i="7"/>
  <c r="G55" i="7"/>
  <c r="E57" i="2"/>
  <c r="G56" i="2"/>
  <c r="E59" i="16" l="1"/>
  <c r="G58" i="16"/>
  <c r="E57" i="7"/>
  <c r="G56" i="7"/>
  <c r="E58" i="2"/>
  <c r="G57" i="2"/>
  <c r="E60" i="16" l="1"/>
  <c r="G59" i="16"/>
  <c r="E58" i="7"/>
  <c r="G57" i="7"/>
  <c r="E59" i="2"/>
  <c r="G58" i="2"/>
  <c r="E61" i="16" l="1"/>
  <c r="G60" i="16"/>
  <c r="E59" i="7"/>
  <c r="G58" i="7"/>
  <c r="E60" i="2"/>
  <c r="G59" i="2"/>
  <c r="E62" i="16" l="1"/>
  <c r="G61" i="16"/>
  <c r="E60" i="7"/>
  <c r="G59" i="7"/>
  <c r="E61" i="2"/>
  <c r="G60" i="2"/>
  <c r="E63" i="16" l="1"/>
  <c r="G62" i="16"/>
  <c r="E61" i="7"/>
  <c r="G60" i="7"/>
  <c r="E62" i="2"/>
  <c r="G61" i="2"/>
  <c r="E64" i="16" l="1"/>
  <c r="G63" i="16"/>
  <c r="E62" i="7"/>
  <c r="G61" i="7"/>
  <c r="E63" i="2"/>
  <c r="G62" i="2"/>
  <c r="E65" i="16" l="1"/>
  <c r="G64" i="16"/>
  <c r="E63" i="7"/>
  <c r="G62" i="7"/>
  <c r="E64" i="2"/>
  <c r="G63" i="2"/>
  <c r="E66" i="16" l="1"/>
  <c r="G65" i="16"/>
  <c r="E64" i="7"/>
  <c r="G63" i="7"/>
  <c r="E65" i="2"/>
  <c r="G64" i="2"/>
  <c r="E67" i="16" l="1"/>
  <c r="G66" i="16"/>
  <c r="E65" i="7"/>
  <c r="G64" i="7"/>
  <c r="E66" i="2"/>
  <c r="G65" i="2"/>
  <c r="E68" i="16" l="1"/>
  <c r="G67" i="16"/>
  <c r="E66" i="7"/>
  <c r="G65" i="7"/>
  <c r="E67" i="2"/>
  <c r="G66" i="2"/>
  <c r="E69" i="16" l="1"/>
  <c r="G68" i="16"/>
  <c r="E67" i="7"/>
  <c r="G66" i="7"/>
  <c r="E68" i="2"/>
  <c r="G67" i="2"/>
  <c r="E70" i="16" l="1"/>
  <c r="G69" i="16"/>
  <c r="E68" i="7"/>
  <c r="G67" i="7"/>
  <c r="E69" i="2"/>
  <c r="G68" i="2"/>
  <c r="E71" i="16" l="1"/>
  <c r="G70" i="16"/>
  <c r="E69" i="7"/>
  <c r="G68" i="7"/>
  <c r="E70" i="2"/>
  <c r="G69" i="2"/>
  <c r="E72" i="16" l="1"/>
  <c r="G71" i="16"/>
  <c r="E70" i="7"/>
  <c r="G69" i="7"/>
  <c r="E71" i="2"/>
  <c r="G70" i="2"/>
  <c r="E73" i="16" l="1"/>
  <c r="G72" i="16"/>
  <c r="E71" i="7"/>
  <c r="G70" i="7"/>
  <c r="E72" i="2"/>
  <c r="G71" i="2"/>
  <c r="E74" i="16" l="1"/>
  <c r="G73" i="16"/>
  <c r="E72" i="7"/>
  <c r="G71" i="7"/>
  <c r="E73" i="2"/>
  <c r="G72" i="2"/>
  <c r="E75" i="16" l="1"/>
  <c r="G74" i="16"/>
  <c r="E73" i="7"/>
  <c r="G72" i="7"/>
  <c r="E74" i="2"/>
  <c r="G73" i="2"/>
  <c r="E76" i="16" l="1"/>
  <c r="G75" i="16"/>
  <c r="E74" i="7"/>
  <c r="G73" i="7"/>
  <c r="E75" i="2"/>
  <c r="G74" i="2"/>
  <c r="E77" i="16" l="1"/>
  <c r="G76" i="16"/>
  <c r="E75" i="7"/>
  <c r="G74" i="7"/>
  <c r="E76" i="2"/>
  <c r="G75" i="2"/>
  <c r="E78" i="16" l="1"/>
  <c r="G77" i="16"/>
  <c r="E76" i="7"/>
  <c r="G75" i="7"/>
  <c r="E77" i="2"/>
  <c r="G76" i="2"/>
  <c r="E79" i="16" l="1"/>
  <c r="G78" i="16"/>
  <c r="E77" i="7"/>
  <c r="G76" i="7"/>
  <c r="E78" i="2"/>
  <c r="G77" i="2"/>
  <c r="G79" i="16" l="1"/>
  <c r="E78" i="7"/>
  <c r="G77" i="7"/>
  <c r="E79" i="2"/>
  <c r="G78" i="2"/>
  <c r="J78" i="16" l="1"/>
  <c r="J74" i="16"/>
  <c r="J70" i="16"/>
  <c r="J66" i="16"/>
  <c r="J62" i="16"/>
  <c r="J58" i="16"/>
  <c r="J54" i="16"/>
  <c r="J50" i="16"/>
  <c r="J46" i="16"/>
  <c r="J42" i="16"/>
  <c r="J38" i="16"/>
  <c r="J34" i="16"/>
  <c r="J30" i="16"/>
  <c r="J26" i="16"/>
  <c r="J79" i="16"/>
  <c r="J75" i="16"/>
  <c r="J71" i="16"/>
  <c r="J67" i="16"/>
  <c r="J77" i="16"/>
  <c r="J73" i="16"/>
  <c r="J69" i="16"/>
  <c r="J65" i="16"/>
  <c r="J61" i="16"/>
  <c r="J57" i="16"/>
  <c r="J53" i="16"/>
  <c r="J49" i="16"/>
  <c r="J45" i="16"/>
  <c r="J41" i="16"/>
  <c r="J37" i="16"/>
  <c r="J33" i="16"/>
  <c r="J29" i="16"/>
  <c r="J25" i="16"/>
  <c r="J21" i="16"/>
  <c r="J17" i="16"/>
  <c r="J13" i="16"/>
  <c r="J9" i="16"/>
  <c r="J5" i="16"/>
  <c r="J72" i="16"/>
  <c r="J59" i="16"/>
  <c r="J52" i="16"/>
  <c r="J43" i="16"/>
  <c r="J36" i="16"/>
  <c r="J68" i="16"/>
  <c r="J22" i="16"/>
  <c r="J18" i="16"/>
  <c r="J14" i="16"/>
  <c r="J8" i="16"/>
  <c r="J63" i="16"/>
  <c r="J56" i="16"/>
  <c r="J51" i="16"/>
  <c r="J47" i="16"/>
  <c r="J44" i="16"/>
  <c r="J40" i="16"/>
  <c r="J31" i="16"/>
  <c r="J76" i="16"/>
  <c r="J20" i="16"/>
  <c r="J16" i="16"/>
  <c r="J12" i="16"/>
  <c r="J10" i="16"/>
  <c r="J6" i="16"/>
  <c r="J64" i="16"/>
  <c r="J60" i="16"/>
  <c r="J55" i="16"/>
  <c r="K55" i="16" s="1"/>
  <c r="J48" i="16"/>
  <c r="J39" i="16"/>
  <c r="J35" i="16"/>
  <c r="J24" i="16"/>
  <c r="J11" i="16"/>
  <c r="J28" i="16"/>
  <c r="J19" i="16"/>
  <c r="J23" i="16"/>
  <c r="J4" i="16"/>
  <c r="J32" i="16"/>
  <c r="J27" i="16"/>
  <c r="K27" i="16" s="1"/>
  <c r="J15" i="16"/>
  <c r="J7" i="16"/>
  <c r="I5" i="16"/>
  <c r="I6" i="16"/>
  <c r="I7"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E79" i="7"/>
  <c r="G78" i="7"/>
  <c r="G79" i="2"/>
  <c r="K7" i="16" l="1"/>
  <c r="N6" i="16"/>
  <c r="N9" i="16"/>
  <c r="N8" i="16"/>
  <c r="N7" i="16"/>
  <c r="K48" i="16"/>
  <c r="K60" i="16"/>
  <c r="K14" i="16"/>
  <c r="K39" i="16"/>
  <c r="K71" i="16"/>
  <c r="K23" i="16"/>
  <c r="K10" i="16"/>
  <c r="K76" i="16"/>
  <c r="K35" i="16"/>
  <c r="K51" i="16"/>
  <c r="K67" i="16"/>
  <c r="K64" i="16"/>
  <c r="K21" i="16"/>
  <c r="K31" i="16"/>
  <c r="K72" i="16"/>
  <c r="K63" i="16"/>
  <c r="K15" i="16"/>
  <c r="K47" i="16"/>
  <c r="K68" i="16"/>
  <c r="K59" i="16"/>
  <c r="K79" i="16"/>
  <c r="K32" i="16"/>
  <c r="K28" i="16"/>
  <c r="K18" i="16"/>
  <c r="K43" i="16"/>
  <c r="K37" i="16"/>
  <c r="K75" i="16"/>
  <c r="K11" i="16"/>
  <c r="K6" i="16"/>
  <c r="K20" i="16"/>
  <c r="K44" i="16"/>
  <c r="K22" i="16"/>
  <c r="K52" i="16"/>
  <c r="K9" i="16"/>
  <c r="K25" i="16"/>
  <c r="K41" i="16"/>
  <c r="K57" i="16"/>
  <c r="K73" i="16"/>
  <c r="K34" i="16"/>
  <c r="K50" i="16"/>
  <c r="K66" i="16"/>
  <c r="K8" i="16"/>
  <c r="K13" i="16"/>
  <c r="K29" i="16"/>
  <c r="K45" i="16"/>
  <c r="K61" i="16"/>
  <c r="K77" i="16"/>
  <c r="K38" i="16"/>
  <c r="K54" i="16"/>
  <c r="K70" i="16"/>
  <c r="K24" i="16"/>
  <c r="K19" i="16"/>
  <c r="K12" i="16"/>
  <c r="K36" i="16"/>
  <c r="K17" i="16"/>
  <c r="K33" i="16"/>
  <c r="K49" i="16"/>
  <c r="K65" i="16"/>
  <c r="K26" i="16"/>
  <c r="K42" i="16"/>
  <c r="K58" i="16"/>
  <c r="K74" i="16"/>
  <c r="M3" i="16"/>
  <c r="K11" i="1" s="1"/>
  <c r="B18" i="78" s="1"/>
  <c r="N14" i="84" s="1"/>
  <c r="K16" i="16"/>
  <c r="K40" i="16"/>
  <c r="K56" i="16"/>
  <c r="K5" i="16"/>
  <c r="K53" i="16"/>
  <c r="K69" i="16"/>
  <c r="K30" i="16"/>
  <c r="K46" i="16"/>
  <c r="K62" i="16"/>
  <c r="K78" i="16"/>
  <c r="G79" i="7"/>
  <c r="J79" i="2"/>
  <c r="J75" i="2"/>
  <c r="J71" i="2"/>
  <c r="J67" i="2"/>
  <c r="J63" i="2"/>
  <c r="J59" i="2"/>
  <c r="J55" i="2"/>
  <c r="J51" i="2"/>
  <c r="J47" i="2"/>
  <c r="J43" i="2"/>
  <c r="J76" i="2"/>
  <c r="J72" i="2"/>
  <c r="J68" i="2"/>
  <c r="J64" i="2"/>
  <c r="J60" i="2"/>
  <c r="J56" i="2"/>
  <c r="J52" i="2"/>
  <c r="J48" i="2"/>
  <c r="J44" i="2"/>
  <c r="J41" i="2"/>
  <c r="J77" i="2"/>
  <c r="J73" i="2"/>
  <c r="J69" i="2"/>
  <c r="J65" i="2"/>
  <c r="J61" i="2"/>
  <c r="J57" i="2"/>
  <c r="J53" i="2"/>
  <c r="J49" i="2"/>
  <c r="J45" i="2"/>
  <c r="J66" i="2"/>
  <c r="J50" i="2"/>
  <c r="J39" i="2"/>
  <c r="J36" i="2"/>
  <c r="J31" i="2"/>
  <c r="J29" i="2"/>
  <c r="J26" i="2"/>
  <c r="J24" i="2"/>
  <c r="J22" i="2"/>
  <c r="J20" i="2"/>
  <c r="J18" i="2"/>
  <c r="J15" i="2"/>
  <c r="J11" i="2"/>
  <c r="J7" i="2"/>
  <c r="J4" i="2"/>
  <c r="J70" i="2"/>
  <c r="J54" i="2"/>
  <c r="J37" i="2"/>
  <c r="J34" i="2"/>
  <c r="J78" i="2"/>
  <c r="K78" i="2" s="1"/>
  <c r="J62" i="2"/>
  <c r="J46" i="2"/>
  <c r="J38" i="2"/>
  <c r="J33" i="2"/>
  <c r="J14" i="2"/>
  <c r="J8" i="2"/>
  <c r="J30" i="2"/>
  <c r="J25" i="2"/>
  <c r="J16" i="2"/>
  <c r="J13" i="2"/>
  <c r="J12" i="2"/>
  <c r="J10" i="2"/>
  <c r="J74" i="2"/>
  <c r="K74" i="2" s="1"/>
  <c r="J40" i="2"/>
  <c r="J32" i="2"/>
  <c r="J23" i="2"/>
  <c r="J17" i="2"/>
  <c r="J35" i="2"/>
  <c r="J19" i="2"/>
  <c r="K19" i="2" s="1"/>
  <c r="J6" i="2"/>
  <c r="J42" i="2"/>
  <c r="J28" i="2"/>
  <c r="J27" i="2"/>
  <c r="K27" i="2" s="1"/>
  <c r="J9" i="2"/>
  <c r="J5" i="2"/>
  <c r="J58" i="2"/>
  <c r="J21"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K8" i="2" l="1"/>
  <c r="O7" i="16"/>
  <c r="K17" i="2"/>
  <c r="O8" i="16"/>
  <c r="N6" i="2"/>
  <c r="O9" i="16"/>
  <c r="N9" i="2"/>
  <c r="N8" i="2"/>
  <c r="N7" i="2"/>
  <c r="O6" i="16"/>
  <c r="K25" i="2"/>
  <c r="K23" i="2"/>
  <c r="K44" i="2"/>
  <c r="K60" i="2"/>
  <c r="K76" i="2"/>
  <c r="K58" i="2"/>
  <c r="K32" i="2"/>
  <c r="K12" i="2"/>
  <c r="K34" i="2"/>
  <c r="K49" i="2"/>
  <c r="K65" i="2"/>
  <c r="K28" i="2"/>
  <c r="K40" i="2"/>
  <c r="K37" i="2"/>
  <c r="K50" i="2"/>
  <c r="K69" i="2"/>
  <c r="K35" i="2"/>
  <c r="K13" i="2"/>
  <c r="K46" i="2"/>
  <c r="K53" i="2"/>
  <c r="K5" i="2"/>
  <c r="K42" i="2"/>
  <c r="K16" i="2"/>
  <c r="K62" i="2"/>
  <c r="K66" i="2"/>
  <c r="K57" i="2"/>
  <c r="K73" i="2"/>
  <c r="K48" i="2"/>
  <c r="K64" i="2"/>
  <c r="K52" i="2"/>
  <c r="K68" i="2"/>
  <c r="K21" i="2"/>
  <c r="K30" i="2"/>
  <c r="K70" i="2"/>
  <c r="J78" i="7"/>
  <c r="J74" i="7"/>
  <c r="J70" i="7"/>
  <c r="J66" i="7"/>
  <c r="J62" i="7"/>
  <c r="J58" i="7"/>
  <c r="J54" i="7"/>
  <c r="J79" i="7"/>
  <c r="J75" i="7"/>
  <c r="J71" i="7"/>
  <c r="J67" i="7"/>
  <c r="J63" i="7"/>
  <c r="J59" i="7"/>
  <c r="J55" i="7"/>
  <c r="J51" i="7"/>
  <c r="J47" i="7"/>
  <c r="J43" i="7"/>
  <c r="J39" i="7"/>
  <c r="J35" i="7"/>
  <c r="J31" i="7"/>
  <c r="J27" i="7"/>
  <c r="J76" i="7"/>
  <c r="J72" i="7"/>
  <c r="J68" i="7"/>
  <c r="J64" i="7"/>
  <c r="J60" i="7"/>
  <c r="J56" i="7"/>
  <c r="J52" i="7"/>
  <c r="J48" i="7"/>
  <c r="J44" i="7"/>
  <c r="J40" i="7"/>
  <c r="J36" i="7"/>
  <c r="J32" i="7"/>
  <c r="J28" i="7"/>
  <c r="J24" i="7"/>
  <c r="J69" i="7"/>
  <c r="K69" i="7" s="1"/>
  <c r="J53" i="7"/>
  <c r="J23" i="7"/>
  <c r="J20" i="7"/>
  <c r="J16" i="7"/>
  <c r="J12" i="7"/>
  <c r="J10" i="7"/>
  <c r="J6" i="7"/>
  <c r="J50" i="7"/>
  <c r="J46" i="7"/>
  <c r="J42" i="7"/>
  <c r="J33" i="7"/>
  <c r="J30" i="7"/>
  <c r="J73" i="7"/>
  <c r="J57" i="7"/>
  <c r="J21" i="7"/>
  <c r="K21" i="7" s="1"/>
  <c r="J17" i="7"/>
  <c r="J13" i="7"/>
  <c r="K13" i="7" s="1"/>
  <c r="J9" i="7"/>
  <c r="J5" i="7"/>
  <c r="J61" i="7"/>
  <c r="J49" i="7"/>
  <c r="K49" i="7" s="1"/>
  <c r="J45" i="7"/>
  <c r="K45" i="7" s="1"/>
  <c r="J41" i="7"/>
  <c r="K41" i="7" s="1"/>
  <c r="J38" i="7"/>
  <c r="J29" i="7"/>
  <c r="J26" i="7"/>
  <c r="J22" i="7"/>
  <c r="K22" i="7" s="1"/>
  <c r="J65" i="7"/>
  <c r="J19" i="7"/>
  <c r="J15" i="7"/>
  <c r="J11" i="7"/>
  <c r="J7" i="7"/>
  <c r="J4" i="7"/>
  <c r="J77" i="7"/>
  <c r="K77" i="7" s="1"/>
  <c r="J37" i="7"/>
  <c r="J34" i="7"/>
  <c r="J25" i="7"/>
  <c r="J18" i="7"/>
  <c r="J8" i="7"/>
  <c r="J1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K38" i="2"/>
  <c r="K18" i="2"/>
  <c r="K26" i="2"/>
  <c r="K39" i="2"/>
  <c r="K41" i="2"/>
  <c r="K56" i="2"/>
  <c r="K72" i="2"/>
  <c r="K51" i="2"/>
  <c r="K67" i="2"/>
  <c r="K7" i="2"/>
  <c r="K20" i="2"/>
  <c r="K29" i="2"/>
  <c r="K55" i="2"/>
  <c r="K71" i="2"/>
  <c r="K14" i="2"/>
  <c r="K54" i="2"/>
  <c r="K11" i="2"/>
  <c r="K22" i="2"/>
  <c r="K31" i="2"/>
  <c r="K43" i="2"/>
  <c r="K59" i="2"/>
  <c r="K75" i="2"/>
  <c r="M3" i="2"/>
  <c r="K10" i="1" s="1"/>
  <c r="B17" i="78" s="1"/>
  <c r="N13" i="84" s="1"/>
  <c r="K9" i="2"/>
  <c r="K6" i="2"/>
  <c r="K10" i="2"/>
  <c r="K33" i="2"/>
  <c r="K15" i="2"/>
  <c r="K24" i="2"/>
  <c r="K36" i="2"/>
  <c r="K45" i="2"/>
  <c r="K61" i="2"/>
  <c r="K77" i="2"/>
  <c r="K47" i="2"/>
  <c r="K63" i="2"/>
  <c r="K79" i="2"/>
  <c r="K17" i="7" l="1"/>
  <c r="O8" i="2"/>
  <c r="O6" i="2"/>
  <c r="O9" i="2"/>
  <c r="N6" i="7"/>
  <c r="N9" i="7"/>
  <c r="N8" i="7"/>
  <c r="N7" i="7"/>
  <c r="O10" i="16"/>
  <c r="L10" i="16"/>
  <c r="O7" i="2"/>
  <c r="K29" i="7"/>
  <c r="K59" i="7"/>
  <c r="K11" i="7"/>
  <c r="K33" i="7"/>
  <c r="K24" i="7"/>
  <c r="K40" i="7"/>
  <c r="K56" i="7"/>
  <c r="K72" i="7"/>
  <c r="K14" i="7"/>
  <c r="K65" i="7"/>
  <c r="K61" i="7"/>
  <c r="K63" i="7"/>
  <c r="K79" i="7"/>
  <c r="K28" i="7"/>
  <c r="K44" i="7"/>
  <c r="K60" i="7"/>
  <c r="K76" i="7"/>
  <c r="K34" i="7"/>
  <c r="K7" i="7"/>
  <c r="K38" i="7"/>
  <c r="K30" i="7"/>
  <c r="K50" i="7"/>
  <c r="K16" i="7"/>
  <c r="K36" i="7"/>
  <c r="K52" i="7"/>
  <c r="K68" i="7"/>
  <c r="K47" i="7"/>
  <c r="K57" i="7"/>
  <c r="K55" i="7"/>
  <c r="K71" i="7"/>
  <c r="K25" i="7"/>
  <c r="K73" i="7"/>
  <c r="K75" i="7"/>
  <c r="K31" i="7"/>
  <c r="K66" i="7"/>
  <c r="K8" i="7"/>
  <c r="K37" i="7"/>
  <c r="K5" i="7"/>
  <c r="K6" i="7"/>
  <c r="K20" i="7"/>
  <c r="K35" i="7"/>
  <c r="K51" i="7"/>
  <c r="K67" i="7"/>
  <c r="K54" i="7"/>
  <c r="K70" i="7"/>
  <c r="K18" i="7"/>
  <c r="K15" i="7"/>
  <c r="K26" i="7"/>
  <c r="K9" i="7"/>
  <c r="K42" i="7"/>
  <c r="K10" i="7"/>
  <c r="K23" i="7"/>
  <c r="K39" i="7"/>
  <c r="K58" i="7"/>
  <c r="K74" i="7"/>
  <c r="M3" i="7"/>
  <c r="K9" i="1" s="1"/>
  <c r="B16" i="78" s="1"/>
  <c r="N12" i="84" s="1"/>
  <c r="K19" i="7"/>
  <c r="K46" i="7"/>
  <c r="K12" i="7"/>
  <c r="K53" i="7"/>
  <c r="K32" i="7"/>
  <c r="K48" i="7"/>
  <c r="K64" i="7"/>
  <c r="K27" i="7"/>
  <c r="K43" i="7"/>
  <c r="K62" i="7"/>
  <c r="K78" i="7"/>
  <c r="O7" i="7" l="1"/>
  <c r="O8" i="7"/>
  <c r="O9" i="7"/>
  <c r="O6" i="7"/>
  <c r="O10" i="2"/>
  <c r="L10" i="2"/>
  <c r="O10" i="7" l="1"/>
  <c r="L10" i="7"/>
</calcChain>
</file>

<file path=xl/sharedStrings.xml><?xml version="1.0" encoding="utf-8"?>
<sst xmlns="http://schemas.openxmlformats.org/spreadsheetml/2006/main" count="1076" uniqueCount="241">
  <si>
    <t>Duration Buckets</t>
  </si>
  <si>
    <t>Maturity</t>
  </si>
  <si>
    <t>Yield</t>
  </si>
  <si>
    <t>Duration</t>
  </si>
  <si>
    <t xml:space="preserve">Macaulay </t>
  </si>
  <si>
    <t>Term Certain</t>
  </si>
  <si>
    <t>10 Year Fixed Period</t>
  </si>
  <si>
    <t>y</t>
  </si>
  <si>
    <t>Male qx</t>
  </si>
  <si>
    <t>Male px</t>
  </si>
  <si>
    <t>Male tPx</t>
  </si>
  <si>
    <t>Stat Discount Factor</t>
  </si>
  <si>
    <t>Stat Factor</t>
  </si>
  <si>
    <t>Benefit Payment</t>
  </si>
  <si>
    <t>Benefit Reserve</t>
  </si>
  <si>
    <t>Liability Macaulay Duration =</t>
  </si>
  <si>
    <t>Key Maturity</t>
  </si>
  <si>
    <t>Years</t>
  </si>
  <si>
    <t>Benefits</t>
  </si>
  <si>
    <t>Age</t>
  </si>
  <si>
    <t>qx</t>
  </si>
  <si>
    <t>px</t>
  </si>
  <si>
    <t>tPx</t>
  </si>
  <si>
    <t xml:space="preserve">Assets </t>
  </si>
  <si>
    <t>Issue</t>
  </si>
  <si>
    <t>C</t>
  </si>
  <si>
    <t>B</t>
  </si>
  <si>
    <t>A</t>
  </si>
  <si>
    <t>X &lt;= 5</t>
  </si>
  <si>
    <t>5 &lt; X &lt;= 10</t>
  </si>
  <si>
    <t>10 &lt; X &lt;=15</t>
  </si>
  <si>
    <t>X &gt;15</t>
  </si>
  <si>
    <t>D</t>
  </si>
  <si>
    <t>Key Points</t>
  </si>
  <si>
    <t>NOTES:</t>
  </si>
  <si>
    <t xml:space="preserve">          a. Easily Understood by Market Participants</t>
  </si>
  <si>
    <t>Average</t>
  </si>
  <si>
    <t>Liabilities</t>
  </si>
  <si>
    <t>90 and above</t>
  </si>
  <si>
    <t>80-89</t>
  </si>
  <si>
    <t>70-79</t>
  </si>
  <si>
    <t>Below 70</t>
  </si>
  <si>
    <t>3. Implicitly assuming that issue age distribution within each age band heavier at younger ages (i.e. more people age 70 buy SPIA, relative to 75);</t>
  </si>
  <si>
    <t xml:space="preserve">          thus focusing a bit more on the upper end of the hypothetical liability duration target range</t>
  </si>
  <si>
    <t>[0-3]</t>
  </si>
  <si>
    <t>(3-7]</t>
  </si>
  <si>
    <t>(7-15]</t>
  </si>
  <si>
    <t>CF Dist</t>
  </si>
  <si>
    <t>(15+</t>
  </si>
  <si>
    <t>25 Year Fixed Period</t>
  </si>
  <si>
    <t>15 Year Fixed Period</t>
  </si>
  <si>
    <t>5 Year Fixed Period</t>
  </si>
  <si>
    <t xml:space="preserve">         &lt;&lt; 1st Life &gt;&gt;</t>
  </si>
  <si>
    <t xml:space="preserve">         &lt;&lt; 2nd Life &gt;&gt;</t>
  </si>
  <si>
    <t>py</t>
  </si>
  <si>
    <t>tpy</t>
  </si>
  <si>
    <t>pxy</t>
  </si>
  <si>
    <t>tpxy</t>
  </si>
  <si>
    <t>tpx + tpy - tpxy</t>
  </si>
  <si>
    <t>Joint Life</t>
  </si>
  <si>
    <t>Age 55, Joint Life Unisex</t>
  </si>
  <si>
    <t>Age 91, Joint Life Unisex</t>
  </si>
  <si>
    <t>2. Revised Proposal uses Simple Weighted Average of the Key Rates to align WAL/Durations, as well as more generic issue age ranges.</t>
  </si>
  <si>
    <t>Age 55, Straight Life</t>
  </si>
  <si>
    <t>Age 60, Straight Life</t>
  </si>
  <si>
    <t>Age 65, Straight Life</t>
  </si>
  <si>
    <t>Age 70, Straight Life</t>
  </si>
  <si>
    <t>Age 75, Straight Life</t>
  </si>
  <si>
    <t>Age 80, Straight Life</t>
  </si>
  <si>
    <t>Age 85, Straight Life</t>
  </si>
  <si>
    <t>Age 91, Straight Life</t>
  </si>
  <si>
    <t xml:space="preserve">          b. ages 80-89: target 4.5 to 6.0-year Macaulay Durations</t>
  </si>
  <si>
    <t xml:space="preserve">          a. ages 90 and above: target 3.0 to 4.0-year Macaulay Durations</t>
  </si>
  <si>
    <t xml:space="preserve">          d. ages under 70: target 10.0 to 14.0-year Macaulay Durations</t>
  </si>
  <si>
    <t xml:space="preserve">          c. ages 70-79: target 7.5 to 9.0-year Macaulay Durations</t>
  </si>
  <si>
    <t>Purpose:</t>
  </si>
  <si>
    <t>Scope:</t>
  </si>
  <si>
    <t>To be used in AAA SVL Interest Rate Modernization (Immediate Annuities) Work Group efforts</t>
  </si>
  <si>
    <t>1. Changing the Valuation Interest Rate from currently assumed 4.00%, to 2.00% or 6.00%</t>
  </si>
  <si>
    <t>1. Revised (Summer 2016) Proposal uses "Key Rates" of 2-, 5-, 10-, and 30-year Treasury Rates</t>
  </si>
  <si>
    <t xml:space="preserve">          b. Eliminates Need to Average "odd" points such as 7- and 8-yr, or 12- and 13-yr Treasuries as Original (Winter 2015) Proposal did</t>
  </si>
  <si>
    <t>Reference Period (RP in "X" years)</t>
  </si>
  <si>
    <t>Summary</t>
  </si>
  <si>
    <t>Certain</t>
  </si>
  <si>
    <t>Period</t>
  </si>
  <si>
    <t>Annual Single Life 55</t>
  </si>
  <si>
    <t>Coumns Q-R: the 2012 IAR Mortality Table for Males is assumed.</t>
  </si>
  <si>
    <t>Columns B-G: from first principles, Qx's are assumed, Px's and tPx's are built, along with interest discount factors</t>
  </si>
  <si>
    <t>Column I: the liability cash flows are modeled, accounting for mortality</t>
  </si>
  <si>
    <t>Cell M3: the liability Macaulay duration is derived (time weighted present value of cash flows)</t>
  </si>
  <si>
    <t>Cells L5-O10: the liability cash flows are grouped, focusing on the 4 key points on the curve (2, 5, 10 and 30-years)</t>
  </si>
  <si>
    <t>Very similar to "Annual Single Life 55", with the exception being Column E, which locks in payments in certain period</t>
  </si>
  <si>
    <t>Issue Age (use youngest if Joint)</t>
  </si>
  <si>
    <t>Description of Buckets</t>
  </si>
  <si>
    <t>Assets</t>
  </si>
  <si>
    <t>Weighted Avg.</t>
  </si>
  <si>
    <t>~</t>
  </si>
  <si>
    <t>10 Year Bond</t>
  </si>
  <si>
    <t>30 Year Bond</t>
  </si>
  <si>
    <t>Proposed Weights by Bucket</t>
  </si>
  <si>
    <t>Buckets</t>
  </si>
  <si>
    <t>4. Key rate weights were adjusted until the asset portfolio duration was approximately the same as the liability duration by bucket.</t>
  </si>
  <si>
    <t>The Summary tab has several "Notes" starting in cell A23.  Read in conjunction with this ReadMe tab.</t>
  </si>
  <si>
    <t>Single Life</t>
  </si>
  <si>
    <t>Asset and Liability Durations</t>
  </si>
  <si>
    <t xml:space="preserve">   Columns B-F: this models a semi-annual coupon paying bond, noting key points at 2, 5, 10, and 30-years</t>
  </si>
  <si>
    <t xml:space="preserve">   Columns N-Q: this models life contingent benefit options at various ages and with varying "certain" periods </t>
  </si>
  <si>
    <t>The liability durations in columns K and Q each reference their own tab which models the liability cash flows.  For example, Issue Age 55 with no certain payments references the "Annual Single Life 55" tab.  The next ReadMe note immediately below describes how the "Annual Single Life 55" tab was constructed.</t>
  </si>
  <si>
    <t xml:space="preserve">   Coumns I-K: this models liability durations for non-life contingent benefit options (i.e. term certain 1-25 years)</t>
  </si>
  <si>
    <t>Sensitivities</t>
  </si>
  <si>
    <t xml:space="preserve">Approximately </t>
  </si>
  <si>
    <t>Equal</t>
  </si>
  <si>
    <t>Interest Rate Sensitivities</t>
  </si>
  <si>
    <r>
      <rPr>
        <b/>
        <sz val="11"/>
        <color theme="1"/>
        <rFont val="Calibri"/>
        <family val="2"/>
        <scheme val="minor"/>
      </rPr>
      <t>Sensitivity #1</t>
    </r>
    <r>
      <rPr>
        <sz val="11"/>
        <color theme="1"/>
        <rFont val="Calibri"/>
        <family val="2"/>
        <scheme val="minor"/>
      </rPr>
      <t>: Interest Rates = 2%</t>
    </r>
  </si>
  <si>
    <t>Liability</t>
  </si>
  <si>
    <t>Bucket</t>
  </si>
  <si>
    <t xml:space="preserve">Asset </t>
  </si>
  <si>
    <r>
      <rPr>
        <b/>
        <sz val="11"/>
        <color theme="1"/>
        <rFont val="Calibri"/>
        <family val="2"/>
        <scheme val="minor"/>
      </rPr>
      <t>Sensitivity #2</t>
    </r>
    <r>
      <rPr>
        <sz val="11"/>
        <color theme="1"/>
        <rFont val="Calibri"/>
        <family val="2"/>
        <scheme val="minor"/>
      </rPr>
      <t>: Interest Rates = 6%</t>
    </r>
  </si>
  <si>
    <r>
      <rPr>
        <b/>
        <sz val="11"/>
        <color theme="1"/>
        <rFont val="Calibri"/>
        <family val="2"/>
        <scheme val="minor"/>
      </rPr>
      <t>Conclusion</t>
    </r>
    <r>
      <rPr>
        <sz val="11"/>
        <color theme="1"/>
        <rFont val="Calibri"/>
        <family val="2"/>
        <scheme val="minor"/>
      </rPr>
      <t>: Still approximately matched</t>
    </r>
  </si>
  <si>
    <t>Mortality Sensitivities</t>
  </si>
  <si>
    <r>
      <rPr>
        <b/>
        <sz val="11"/>
        <color theme="1"/>
        <rFont val="Calibri"/>
        <family val="2"/>
        <scheme val="minor"/>
      </rPr>
      <t>Sensitivity #1</t>
    </r>
    <r>
      <rPr>
        <sz val="11"/>
        <color theme="1"/>
        <rFont val="Calibri"/>
        <family val="2"/>
        <scheme val="minor"/>
      </rPr>
      <t>: Increase Mortality 10%</t>
    </r>
  </si>
  <si>
    <r>
      <rPr>
        <b/>
        <sz val="11"/>
        <color theme="1"/>
        <rFont val="Calibri"/>
        <family val="2"/>
        <scheme val="minor"/>
      </rPr>
      <t>Sensitivity #2</t>
    </r>
    <r>
      <rPr>
        <sz val="11"/>
        <color theme="1"/>
        <rFont val="Calibri"/>
        <family val="2"/>
        <scheme val="minor"/>
      </rPr>
      <t>: Decrease Mortality 10%</t>
    </r>
  </si>
  <si>
    <t>Joint Life Sensitivities</t>
  </si>
  <si>
    <t>3. Analysis of Joint Lives</t>
  </si>
  <si>
    <t>2. Changing the Valuation Mortality by +/- 10%</t>
  </si>
  <si>
    <t>AAA Standard Valuation Law Interest Rate Modernization Work Group</t>
  </si>
  <si>
    <t xml:space="preserve">This tab contains a description of the liability buckets as well as the average (Macaulay) duration for each bucket and </t>
  </si>
  <si>
    <t>the proposed weights for key rate bonds (2Y, 5Y, 10Y, 30Y) to approximately match the liability duration.</t>
  </si>
  <si>
    <t>This tab is an example of all the other tabs that follow.</t>
  </si>
  <si>
    <t>Column O: the distribution of cash flows from many benefit tabs assisted in developing asset weightings.</t>
  </si>
  <si>
    <t>2 Year Bond</t>
  </si>
  <si>
    <t>5 Year Bond</t>
  </si>
  <si>
    <t>Duration (years)</t>
  </si>
  <si>
    <t>This spreadsheet provides support for recommended asset bucket weightings.</t>
  </si>
  <si>
    <t>Reference</t>
  </si>
  <si>
    <t>A. Age 91 w/ RP = 0 and 5; Term Certain = 5</t>
  </si>
  <si>
    <t>B. Ages 80 &amp; 85 w/ RP = 0, 5 &amp; 10; Term Certain = 10</t>
  </si>
  <si>
    <t>Annual Single Life 55 (RP = 15)</t>
  </si>
  <si>
    <t>Age 55, Straight Life, with 15 yr RP</t>
  </si>
  <si>
    <t>Age 60, Straight Life with 15 yr RP</t>
  </si>
  <si>
    <t>Age 65, Straight Life with 15 yr RP</t>
  </si>
  <si>
    <t>Age 70, Straight Life with 15 yr RP</t>
  </si>
  <si>
    <t>Age 75, Straight Life with 10 yr RP</t>
  </si>
  <si>
    <t>Age 75, Straight Life with 15 yr RP</t>
  </si>
  <si>
    <t>Age 75, Straight Life with 20 yr RP</t>
  </si>
  <si>
    <t>Age 80, Straight Life with 5 yr RP</t>
  </si>
  <si>
    <t>Age 80, Straight Life with 10 yr RP</t>
  </si>
  <si>
    <t>Age 80, Straight Life with 15 yr RP</t>
  </si>
  <si>
    <t>Age 80, Straight Life with 20 yr RP</t>
  </si>
  <si>
    <t>Age 85, Straight Life with 5 yr RP</t>
  </si>
  <si>
    <t>Age 85, Straight Life with 10 yr RP</t>
  </si>
  <si>
    <t>Age 85, Straight Life with 15 yr RP</t>
  </si>
  <si>
    <t>Age 85, Straight Life with 20 yr RP</t>
  </si>
  <si>
    <t>Age 91, Straight Life with 5 yr RP</t>
  </si>
  <si>
    <t>Age 91, Straight Life with 10 yr RP</t>
  </si>
  <si>
    <t>Age 91, Straight Life with 15 yr RP</t>
  </si>
  <si>
    <t>Age 91, Straight Life with 20 yr RP</t>
  </si>
  <si>
    <t>Age 55, Joint Life Unisex, RP = 15</t>
  </si>
  <si>
    <r>
      <rPr>
        <b/>
        <sz val="11"/>
        <color theme="1"/>
        <rFont val="Calibri"/>
        <family val="2"/>
        <scheme val="minor"/>
      </rPr>
      <t>Conclusion</t>
    </r>
    <r>
      <rPr>
        <sz val="11"/>
        <color theme="1"/>
        <rFont val="Calibri"/>
        <family val="2"/>
        <scheme val="minor"/>
      </rPr>
      <t>: Not significantly different.  Just use youngest issue age.</t>
    </r>
  </si>
  <si>
    <t>Inputs</t>
  </si>
  <si>
    <t>Mortality</t>
  </si>
  <si>
    <t>Source:</t>
  </si>
  <si>
    <t>http://mort.soa.org/ViewTable.aspx?&amp;TableIdentity=2585</t>
  </si>
  <si>
    <t>Male</t>
  </si>
  <si>
    <t xml:space="preserve">2012 IAR (Loaded) Mortality Table </t>
  </si>
  <si>
    <t>Female</t>
  </si>
  <si>
    <t xml:space="preserve">Gender </t>
  </si>
  <si>
    <t xml:space="preserve"> (M = 1, F = 2)</t>
  </si>
  <si>
    <t>Multiplier</t>
  </si>
  <si>
    <t>Load</t>
  </si>
  <si>
    <t>Used</t>
  </si>
  <si>
    <t>Assume base case = 4%</t>
  </si>
  <si>
    <t>Note: Analysis done with the following settings:</t>
  </si>
  <si>
    <t>Return to 'Read Me'</t>
  </si>
  <si>
    <t>Return to 'Summary'</t>
  </si>
  <si>
    <t>Single Life Age 55, RP = 0</t>
  </si>
  <si>
    <t>Single Life Age 55, RP = 15</t>
  </si>
  <si>
    <t>Single Life Age 60, RP = 0</t>
  </si>
  <si>
    <t>Single Life Age 60, RP = 15</t>
  </si>
  <si>
    <t>Single Life Age 65, RP = 0</t>
  </si>
  <si>
    <t>Single Life Age 65, RP = 15</t>
  </si>
  <si>
    <t>Single Life Age 70, RP = 0</t>
  </si>
  <si>
    <t>Single Life Age 70, RP = 15</t>
  </si>
  <si>
    <t>Single Life Age 75, RP =  0</t>
  </si>
  <si>
    <t>Single Life Age 75, RP = 10</t>
  </si>
  <si>
    <t>Single Life Age 75, RP = 15</t>
  </si>
  <si>
    <t>Single Life Age 80, RP = 20</t>
  </si>
  <si>
    <t>Single Life Age 80, RP = 0</t>
  </si>
  <si>
    <t>Single Life Age 80, RP = 5</t>
  </si>
  <si>
    <t>Single Life Age 80, RP = 10</t>
  </si>
  <si>
    <t>Single Life Age 80, RP = 15</t>
  </si>
  <si>
    <t>Single Life Age 85, RP = 5</t>
  </si>
  <si>
    <t>Single Life Age 85, RP = 10</t>
  </si>
  <si>
    <t>Single Life Age 85, RP = 0</t>
  </si>
  <si>
    <t>Single Life Age 85, RP = 15</t>
  </si>
  <si>
    <t>Single Life Age 85, RP = 20</t>
  </si>
  <si>
    <t>Single Life Age 91, RP = 0</t>
  </si>
  <si>
    <t>Single Life Age 91, RP = 5</t>
  </si>
  <si>
    <t>Single Life Age 91, RP = 10</t>
  </si>
  <si>
    <t>Single Life Age 91, RP = 15</t>
  </si>
  <si>
    <t>Single Life Age 91, RP = 20</t>
  </si>
  <si>
    <t>5Y Term Certain</t>
  </si>
  <si>
    <t>10Y Term Certain</t>
  </si>
  <si>
    <t>15Y Term Certain</t>
  </si>
  <si>
    <t>25Y Term Certain</t>
  </si>
  <si>
    <t>Joint Life 55, RP = 0</t>
  </si>
  <si>
    <t>Joint Life 55, RP = 15</t>
  </si>
  <si>
    <t>Joint Life 91, RP = 0</t>
  </si>
  <si>
    <t>Hyperlinks</t>
  </si>
  <si>
    <t>Contents of 'ReadMe'</t>
  </si>
  <si>
    <t xml:space="preserve">   Purpose</t>
  </si>
  <si>
    <t xml:space="preserve">   Scope</t>
  </si>
  <si>
    <t xml:space="preserve">   Summary</t>
  </si>
  <si>
    <t xml:space="preserve">   Asset and Liability Durations</t>
  </si>
  <si>
    <t xml:space="preserve">   Example of Detail Tab: Annual Single Life 55</t>
  </si>
  <si>
    <t xml:space="preserve">   Example of Detail Tab: Annual Single Life, RP = 15</t>
  </si>
  <si>
    <t xml:space="preserve">   Sensitivities</t>
  </si>
  <si>
    <t xml:space="preserve">   Hyperlinks to Worksheet Tabs</t>
  </si>
  <si>
    <t>Version History</t>
  </si>
  <si>
    <t>1.0, Date: 10/21/2016</t>
  </si>
  <si>
    <t>SVL Interest Rate Modernization WG Website: http://www.actuary.org/committees/dynamic/SVLMODERNIZATION</t>
  </si>
  <si>
    <t xml:space="preserve">SVL Interest Rate Modernization WG Website: </t>
  </si>
  <si>
    <t xml:space="preserve">   Version History</t>
  </si>
  <si>
    <t xml:space="preserve">   Input</t>
  </si>
  <si>
    <r>
      <rPr>
        <b/>
        <u/>
        <sz val="11"/>
        <color rgb="FFFF0000"/>
        <rFont val="Calibri"/>
        <family val="2"/>
        <scheme val="minor"/>
      </rPr>
      <t>Note</t>
    </r>
    <r>
      <rPr>
        <sz val="11"/>
        <color rgb="FFFF0000"/>
        <rFont val="Calibri"/>
        <family val="2"/>
        <scheme val="minor"/>
      </rPr>
      <t xml:space="preserve">: Using only four liability buckets and four asset buckets is an attempt to balance precision and practicality.  More buckets would increase precision, but also increase operational complexity.  </t>
    </r>
  </si>
  <si>
    <t>Timing of Payments Assumption:</t>
  </si>
  <si>
    <t>End of Period</t>
  </si>
  <si>
    <t>RP =</t>
  </si>
  <si>
    <t xml:space="preserve">RP = </t>
  </si>
  <si>
    <t>(Bonds with semi-annual 4% coupons)</t>
  </si>
  <si>
    <t>D. Ages Below 70 (55 &amp; 60 &amp; 65) w/ RP = 0 &amp; 15; Term Certain = 25</t>
  </si>
  <si>
    <t>C. Age 70 w/ RP = 0 &amp; 15, Age 75 w/ RP = 0, 10 &amp; 15; Term Certain = 15</t>
  </si>
  <si>
    <t>Durations based on Current Input Settings</t>
  </si>
  <si>
    <t>Assume base case = 100% of male table</t>
  </si>
  <si>
    <t>Worksheet Descriptions</t>
  </si>
  <si>
    <t>Worksheets in the Spreadsheet: Brief Descriptions</t>
  </si>
  <si>
    <t>Worksheet</t>
  </si>
  <si>
    <t xml:space="preserve">Description of worksheet </t>
  </si>
  <si>
    <r>
      <t xml:space="preserve">User can input Discount Rate (yield) and mortality (2012 IAR male or female, with or without loads). </t>
    </r>
    <r>
      <rPr>
        <b/>
        <u/>
        <sz val="11"/>
        <color theme="1"/>
        <rFont val="Calibri"/>
        <family val="2"/>
        <scheme val="minor"/>
      </rPr>
      <t xml:space="preserve"> Note:</t>
    </r>
    <r>
      <rPr>
        <b/>
        <sz val="11"/>
        <color theme="1"/>
        <rFont val="Calibri"/>
        <family val="2"/>
        <scheme val="minor"/>
      </rPr>
      <t xml:space="preserve"> original analysis was done with 2012 IAR male mortality with no additional loads and yield = 4, but user can examine the impact of changing these assumptions on the asset and liability durations.  The goal was to approximately match asset and liability durations.  </t>
    </r>
    <r>
      <rPr>
        <b/>
        <u/>
        <sz val="11"/>
        <color theme="1"/>
        <rFont val="Calibri"/>
        <family val="2"/>
        <scheme val="minor"/>
      </rPr>
      <t>Note: All worksheets are protected (w/o a password) EXCEPT 'Inputs'.</t>
    </r>
  </si>
  <si>
    <t xml:space="preserve">This tab shows illustrative Macaulay durations (time weighted present value of cash flows) for several asset and liability benefit options.  A single 4.00% yield rate was selected for original analysis, but this can be changed.  It is noted that durations would change in different interest rate environments.  Also, for life contingent benefit options, the selected valuation mortality for the original analysis was the 2012 IAR (Loaded) Table for Males.  </t>
  </si>
  <si>
    <t>Assume annual payment of $5,000 (amount of payment has no impact on duration calculation).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</si>
</sst>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 #,##0_);_(* \(#,##0\);_(* &quot;-&quot;??_);_(@_)"/>
    <numFmt numFmtId="165" formatCode="_(* #,##0.000_);_(* \(#,##0.000\);_(* &quot;-&quot;??_);_(@_)"/>
    <numFmt numFmtId="166" formatCode="_(* #,##0.0000_);_(* \(#,##0.0000\);_(* &quot;-&quot;??_);_(@_)"/>
    <numFmt numFmtId="167" formatCode="0.0%"/>
    <numFmt numFmtId="168" formatCode="_(* #,##0.00000_);_(* \(#,##0.00000\);_(* &quot;-&quot;??_);_(@_)"/>
    <numFmt numFmtId="169" formatCode="0.0"/>
    <numFmt numFmtId="170" formatCode="_(* #,##0.0_);_(* \(#,##0.0\);_(* &quot;-&quot;??_);_(@_)"/>
    <numFmt numFmtId="171" formatCode="0.000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1"/>
      <color rgb="FFFFFFFF"/>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FF0000"/>
      <name val="Calibri"/>
      <family val="2"/>
      <scheme val="minor"/>
    </font>
    <font>
      <b/>
      <u/>
      <sz val="11"/>
      <color theme="1"/>
      <name val="Calibri"/>
      <family val="2"/>
      <scheme val="minor"/>
    </font>
    <font>
      <b/>
      <sz val="11"/>
      <name val="Calibri"/>
      <family val="2"/>
      <scheme val="minor"/>
    </font>
    <font>
      <b/>
      <u/>
      <sz val="14"/>
      <color theme="1"/>
      <name val="Calibri"/>
      <family val="2"/>
      <scheme val="minor"/>
    </font>
    <font>
      <b/>
      <sz val="12"/>
      <color theme="1"/>
      <name val="Calibri"/>
      <family val="2"/>
      <scheme val="minor"/>
    </font>
    <font>
      <b/>
      <sz val="20"/>
      <color theme="1"/>
      <name val="Calibri"/>
      <family val="2"/>
      <scheme val="minor"/>
    </font>
    <font>
      <b/>
      <u/>
      <sz val="11"/>
      <color rgb="FFFF0000"/>
      <name val="Calibri"/>
      <family val="2"/>
      <scheme val="minor"/>
    </font>
    <font>
      <b/>
      <u/>
      <sz val="12"/>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000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999999"/>
      </left>
      <right/>
      <top style="medium">
        <color rgb="FF999999"/>
      </top>
      <bottom/>
      <diagonal/>
    </border>
    <border>
      <left/>
      <right style="medium">
        <color rgb="FF999999"/>
      </right>
      <top style="medium">
        <color rgb="FF999999"/>
      </top>
      <bottom/>
      <diagonal/>
    </border>
    <border>
      <left style="medium">
        <color rgb="FF999999"/>
      </left>
      <right/>
      <top/>
      <bottom/>
      <diagonal/>
    </border>
    <border>
      <left style="medium">
        <color rgb="FF999999"/>
      </left>
      <right/>
      <top/>
      <bottom style="medium">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rgb="FF999999"/>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207">
    <xf numFmtId="0" fontId="0" fillId="0" borderId="0" xfId="0"/>
    <xf numFmtId="0" fontId="2" fillId="0" borderId="0" xfId="0" applyFont="1"/>
    <xf numFmtId="0" fontId="3" fillId="0" borderId="0" xfId="0" applyFont="1"/>
    <xf numFmtId="44" fontId="0" fillId="0" borderId="0" xfId="2" applyFont="1"/>
    <xf numFmtId="164" fontId="0" fillId="0" borderId="0" xfId="1" applyNumberFormat="1" applyFont="1"/>
    <xf numFmtId="9" fontId="0" fillId="2" borderId="0" xfId="0" applyNumberFormat="1" applyFill="1"/>
    <xf numFmtId="0" fontId="2" fillId="0" borderId="0" xfId="0" applyFont="1" applyAlignment="1">
      <alignment horizontal="left" wrapText="1"/>
    </xf>
    <xf numFmtId="0" fontId="2" fillId="0" borderId="0" xfId="0" applyFont="1" applyAlignment="1">
      <alignment horizontal="center" wrapText="1"/>
    </xf>
    <xf numFmtId="0" fontId="2" fillId="0" borderId="0" xfId="0" quotePrefix="1" applyFont="1" applyBorder="1" applyAlignment="1">
      <alignment horizontal="center" wrapText="1"/>
    </xf>
    <xf numFmtId="165" fontId="0" fillId="3" borderId="0" xfId="1" applyNumberFormat="1" applyFont="1" applyFill="1"/>
    <xf numFmtId="166" fontId="0" fillId="0" borderId="0" xfId="0" applyNumberFormat="1"/>
    <xf numFmtId="4" fontId="0" fillId="0" borderId="0" xfId="0" applyNumberFormat="1"/>
    <xf numFmtId="166" fontId="0" fillId="0" borderId="0" xfId="1" applyNumberFormat="1" applyFont="1"/>
    <xf numFmtId="43" fontId="0" fillId="0" borderId="0" xfId="1" applyFont="1"/>
    <xf numFmtId="0" fontId="0" fillId="0" borderId="0" xfId="0" applyAlignment="1">
      <alignment horizontal="center"/>
    </xf>
    <xf numFmtId="4" fontId="0" fillId="4" borderId="2" xfId="0" applyNumberFormat="1" applyFill="1" applyBorder="1"/>
    <xf numFmtId="167" fontId="0" fillId="4" borderId="3" xfId="3" applyNumberFormat="1" applyFont="1" applyFill="1" applyBorder="1"/>
    <xf numFmtId="4" fontId="0" fillId="4" borderId="0" xfId="0" applyNumberFormat="1" applyFill="1" applyBorder="1"/>
    <xf numFmtId="167" fontId="0" fillId="4" borderId="5" xfId="3" applyNumberFormat="1" applyFont="1" applyFill="1" applyBorder="1"/>
    <xf numFmtId="0" fontId="0" fillId="4" borderId="4" xfId="0" quotePrefix="1" applyFill="1" applyBorder="1"/>
    <xf numFmtId="0" fontId="0" fillId="4" borderId="6" xfId="0" quotePrefix="1" applyFill="1" applyBorder="1"/>
    <xf numFmtId="4" fontId="0" fillId="4" borderId="7" xfId="0" applyNumberFormat="1" applyFill="1" applyBorder="1"/>
    <xf numFmtId="167" fontId="0" fillId="4" borderId="8" xfId="3" applyNumberFormat="1" applyFont="1" applyFill="1" applyBorder="1"/>
    <xf numFmtId="167" fontId="0" fillId="0" borderId="0" xfId="0" applyNumberFormat="1"/>
    <xf numFmtId="0" fontId="0" fillId="0" borderId="0" xfId="0" applyFill="1"/>
    <xf numFmtId="168" fontId="0" fillId="0" borderId="0" xfId="1" applyNumberFormat="1" applyFont="1"/>
    <xf numFmtId="0" fontId="4" fillId="0" borderId="0" xfId="0" applyFont="1"/>
    <xf numFmtId="169" fontId="0" fillId="0" borderId="0" xfId="0" applyNumberFormat="1"/>
    <xf numFmtId="0" fontId="0" fillId="2" borderId="0" xfId="0" applyFill="1"/>
    <xf numFmtId="0" fontId="0" fillId="0" borderId="0" xfId="0" quotePrefix="1"/>
    <xf numFmtId="170" fontId="0" fillId="3" borderId="0" xfId="1" applyNumberFormat="1" applyFont="1" applyFill="1"/>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0" fillId="0" borderId="0" xfId="0" applyBorder="1"/>
    <xf numFmtId="0" fontId="0" fillId="0" borderId="14" xfId="0" applyBorder="1"/>
    <xf numFmtId="167" fontId="0" fillId="0" borderId="0" xfId="3" applyNumberFormat="1" applyFont="1" applyBorder="1"/>
    <xf numFmtId="0" fontId="0" fillId="0" borderId="15" xfId="0" applyBorder="1"/>
    <xf numFmtId="0" fontId="7" fillId="0" borderId="0" xfId="0" quotePrefix="1" applyFont="1" applyBorder="1" applyAlignment="1">
      <alignment horizontal="center"/>
    </xf>
    <xf numFmtId="0" fontId="7" fillId="0" borderId="0" xfId="0" applyFont="1" applyBorder="1" applyAlignment="1">
      <alignment horizontal="center"/>
    </xf>
    <xf numFmtId="0" fontId="7" fillId="0" borderId="20" xfId="0" applyFont="1" applyBorder="1" applyAlignment="1">
      <alignment horizontal="center"/>
    </xf>
    <xf numFmtId="0" fontId="0" fillId="0" borderId="19" xfId="0" quotePrefix="1" applyBorder="1" applyAlignment="1">
      <alignment horizontal="center"/>
    </xf>
    <xf numFmtId="10" fontId="0" fillId="2" borderId="0" xfId="3" applyNumberFormat="1" applyFont="1" applyFill="1" applyBorder="1" applyAlignment="1">
      <alignment horizontal="center"/>
    </xf>
    <xf numFmtId="10" fontId="0" fillId="3" borderId="0" xfId="3" applyNumberFormat="1" applyFont="1" applyFill="1" applyBorder="1" applyAlignment="1">
      <alignment horizontal="center"/>
    </xf>
    <xf numFmtId="10" fontId="0" fillId="6" borderId="0" xfId="3" applyNumberFormat="1" applyFont="1" applyFill="1" applyBorder="1" applyAlignment="1">
      <alignment horizontal="center"/>
    </xf>
    <xf numFmtId="10" fontId="0" fillId="7" borderId="20" xfId="3" applyNumberFormat="1" applyFont="1" applyFill="1" applyBorder="1" applyAlignment="1">
      <alignment horizontal="center"/>
    </xf>
    <xf numFmtId="0" fontId="0" fillId="0" borderId="16" xfId="0" applyBorder="1" applyAlignment="1">
      <alignment horizontal="center"/>
    </xf>
    <xf numFmtId="10" fontId="0" fillId="7" borderId="17" xfId="3" applyNumberFormat="1" applyFont="1" applyFill="1" applyBorder="1" applyAlignment="1">
      <alignment horizontal="center"/>
    </xf>
    <xf numFmtId="10" fontId="0" fillId="7" borderId="18" xfId="3" applyNumberFormat="1" applyFont="1" applyFill="1" applyBorder="1" applyAlignment="1">
      <alignment horizontal="center"/>
    </xf>
    <xf numFmtId="0" fontId="0" fillId="0" borderId="0" xfId="0" applyBorder="1" applyAlignment="1">
      <alignment horizontal="center"/>
    </xf>
    <xf numFmtId="0" fontId="0" fillId="0" borderId="17" xfId="0" applyBorder="1" applyAlignment="1">
      <alignment horizontal="center"/>
    </xf>
    <xf numFmtId="0" fontId="0" fillId="0" borderId="0" xfId="0" applyFill="1" applyBorder="1"/>
    <xf numFmtId="0" fontId="0" fillId="0" borderId="13" xfId="0" applyBorder="1"/>
    <xf numFmtId="9" fontId="0" fillId="0" borderId="0" xfId="3" applyFont="1" applyAlignment="1">
      <alignment horizontal="center"/>
    </xf>
    <xf numFmtId="43" fontId="0" fillId="0" borderId="0" xfId="1" applyFont="1" applyAlignment="1"/>
    <xf numFmtId="16" fontId="0" fillId="4" borderId="1" xfId="0" quotePrefix="1" applyNumberFormat="1" applyFill="1" applyBorder="1"/>
    <xf numFmtId="0" fontId="2" fillId="8" borderId="0" xfId="0" applyFont="1" applyFill="1" applyAlignment="1">
      <alignment horizontal="center" wrapText="1"/>
    </xf>
    <xf numFmtId="0" fontId="2" fillId="9" borderId="0" xfId="0" applyFont="1" applyFill="1" applyAlignment="1">
      <alignment horizontal="center" wrapText="1"/>
    </xf>
    <xf numFmtId="0" fontId="2" fillId="7" borderId="0" xfId="0" applyFont="1" applyFill="1" applyAlignment="1">
      <alignment horizontal="center" wrapText="1"/>
    </xf>
    <xf numFmtId="0" fontId="2" fillId="3" borderId="0" xfId="0" applyFont="1" applyFill="1" applyAlignment="1">
      <alignment horizontal="center" wrapText="1"/>
    </xf>
    <xf numFmtId="43" fontId="0" fillId="3" borderId="0" xfId="1" applyNumberFormat="1" applyFont="1" applyFill="1"/>
    <xf numFmtId="166" fontId="0" fillId="3" borderId="0" xfId="0" applyNumberFormat="1" applyFill="1"/>
    <xf numFmtId="166" fontId="0" fillId="8" borderId="0" xfId="0" applyNumberFormat="1" applyFill="1"/>
    <xf numFmtId="166" fontId="0" fillId="9" borderId="0" xfId="0" applyNumberFormat="1" applyFill="1"/>
    <xf numFmtId="166" fontId="0" fillId="7" borderId="0" xfId="0" applyNumberFormat="1" applyFill="1"/>
    <xf numFmtId="0" fontId="0" fillId="2" borderId="0" xfId="0" quotePrefix="1" applyFill="1"/>
    <xf numFmtId="0" fontId="6" fillId="2" borderId="11" xfId="0" applyFont="1" applyFill="1" applyBorder="1" applyAlignment="1">
      <alignment vertical="center" wrapText="1"/>
    </xf>
    <xf numFmtId="0" fontId="6" fillId="2" borderId="21" xfId="0" applyFont="1" applyFill="1" applyBorder="1" applyAlignment="1">
      <alignment vertical="center" wrapText="1"/>
    </xf>
    <xf numFmtId="0" fontId="6" fillId="2" borderId="12" xfId="0" applyFont="1" applyFill="1" applyBorder="1" applyAlignment="1">
      <alignment vertical="center" wrapText="1"/>
    </xf>
    <xf numFmtId="0" fontId="0" fillId="8" borderId="0" xfId="0" applyFill="1"/>
    <xf numFmtId="0" fontId="2" fillId="0" borderId="0" xfId="0" applyFont="1" applyAlignment="1">
      <alignment vertical="top"/>
    </xf>
    <xf numFmtId="0" fontId="0" fillId="0" borderId="0" xfId="0" applyAlignment="1">
      <alignment vertical="top"/>
    </xf>
    <xf numFmtId="0" fontId="7" fillId="0" borderId="0" xfId="0" applyFont="1" applyAlignment="1">
      <alignment vertical="top"/>
    </xf>
    <xf numFmtId="0" fontId="0" fillId="0" borderId="7" xfId="0" applyBorder="1" applyAlignment="1">
      <alignment horizontal="center"/>
    </xf>
    <xf numFmtId="0" fontId="0" fillId="0" borderId="0" xfId="0" applyFill="1" applyBorder="1" applyAlignment="1">
      <alignment horizontal="center"/>
    </xf>
    <xf numFmtId="0" fontId="9" fillId="0" borderId="0" xfId="0" applyFont="1" applyAlignment="1">
      <alignment vertical="top" wrapText="1"/>
    </xf>
    <xf numFmtId="0" fontId="9" fillId="0" borderId="0" xfId="0" applyFont="1" applyAlignment="1">
      <alignment vertical="top"/>
    </xf>
    <xf numFmtId="0" fontId="9" fillId="0" borderId="0" xfId="0" applyFont="1"/>
    <xf numFmtId="0" fontId="2" fillId="0" borderId="0" xfId="0" applyFont="1" applyFill="1" applyBorder="1" applyAlignment="1">
      <alignment horizontal="center"/>
    </xf>
    <xf numFmtId="0" fontId="2" fillId="0" borderId="7" xfId="0" applyFont="1" applyFill="1" applyBorder="1" applyAlignment="1">
      <alignment horizontal="center"/>
    </xf>
    <xf numFmtId="0" fontId="7" fillId="0" borderId="0" xfId="0" applyFont="1" applyBorder="1"/>
    <xf numFmtId="9" fontId="0" fillId="0" borderId="22" xfId="3" applyFont="1" applyBorder="1" applyAlignment="1">
      <alignment horizontal="center"/>
    </xf>
    <xf numFmtId="9" fontId="0" fillId="0" borderId="22" xfId="3" applyFont="1" applyFill="1" applyBorder="1" applyAlignment="1">
      <alignment horizontal="center"/>
    </xf>
    <xf numFmtId="9" fontId="0" fillId="0" borderId="23" xfId="3" applyFont="1" applyBorder="1" applyAlignment="1">
      <alignment horizontal="center"/>
    </xf>
    <xf numFmtId="9" fontId="0" fillId="0" borderId="23" xfId="3" applyFont="1" applyFill="1" applyBorder="1" applyAlignment="1">
      <alignment horizontal="center"/>
    </xf>
    <xf numFmtId="0" fontId="4" fillId="0" borderId="0" xfId="0" applyFont="1" applyBorder="1"/>
    <xf numFmtId="9" fontId="0" fillId="0" borderId="18" xfId="3" applyFont="1" applyBorder="1" applyAlignment="1">
      <alignment horizontal="center"/>
    </xf>
    <xf numFmtId="9" fontId="0" fillId="0" borderId="29" xfId="3" applyFont="1" applyBorder="1" applyAlignment="1">
      <alignment horizontal="center"/>
    </xf>
    <xf numFmtId="0" fontId="2" fillId="0" borderId="3" xfId="0" quotePrefix="1" applyFont="1" applyBorder="1" applyAlignment="1">
      <alignment horizontal="center"/>
    </xf>
    <xf numFmtId="169" fontId="2" fillId="0" borderId="8" xfId="0" applyNumberFormat="1" applyFont="1" applyBorder="1" applyAlignment="1">
      <alignment horizontal="center"/>
    </xf>
    <xf numFmtId="9" fontId="0" fillId="0" borderId="30" xfId="3" applyFont="1" applyBorder="1" applyAlignment="1">
      <alignment horizontal="center"/>
    </xf>
    <xf numFmtId="9" fontId="0" fillId="0" borderId="31" xfId="3" applyFont="1" applyBorder="1" applyAlignment="1">
      <alignment horizontal="center"/>
    </xf>
    <xf numFmtId="9" fontId="0" fillId="0" borderId="31" xfId="3" applyFont="1" applyFill="1" applyBorder="1" applyAlignment="1">
      <alignment horizontal="center"/>
    </xf>
    <xf numFmtId="9" fontId="0" fillId="0" borderId="32" xfId="3" applyFont="1" applyFill="1" applyBorder="1" applyAlignment="1">
      <alignment horizontal="center"/>
    </xf>
    <xf numFmtId="9" fontId="0" fillId="0" borderId="33" xfId="3" applyFont="1" applyFill="1" applyBorder="1" applyAlignment="1">
      <alignment horizontal="center"/>
    </xf>
    <xf numFmtId="9" fontId="0" fillId="0" borderId="34" xfId="3" applyFont="1" applyFill="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0" fillId="0" borderId="19" xfId="0" applyFont="1" applyBorder="1" applyAlignment="1">
      <alignment horizontal="center" wrapText="1"/>
    </xf>
    <xf numFmtId="0" fontId="2" fillId="0" borderId="26" xfId="0" quotePrefix="1" applyFont="1" applyBorder="1" applyAlignment="1">
      <alignment horizontal="center"/>
    </xf>
    <xf numFmtId="169" fontId="2" fillId="0" borderId="27" xfId="0" applyNumberFormat="1" applyFont="1" applyBorder="1" applyAlignment="1">
      <alignment horizontal="center"/>
    </xf>
    <xf numFmtId="169" fontId="2" fillId="6" borderId="28" xfId="0" applyNumberFormat="1" applyFont="1" applyFill="1" applyBorder="1" applyAlignment="1">
      <alignment horizontal="center"/>
    </xf>
    <xf numFmtId="169" fontId="2" fillId="6" borderId="24" xfId="0" applyNumberFormat="1" applyFont="1" applyFill="1" applyBorder="1" applyAlignment="1">
      <alignment horizontal="center"/>
    </xf>
    <xf numFmtId="169" fontId="2" fillId="6" borderId="25" xfId="0" applyNumberFormat="1" applyFont="1" applyFill="1" applyBorder="1" applyAlignment="1">
      <alignment horizontal="center"/>
    </xf>
    <xf numFmtId="0" fontId="0" fillId="0" borderId="1" xfId="0" applyBorder="1"/>
    <xf numFmtId="0" fontId="0" fillId="0" borderId="4" xfId="0" applyBorder="1"/>
    <xf numFmtId="0" fontId="0" fillId="0" borderId="6" xfId="0" applyBorder="1"/>
    <xf numFmtId="169" fontId="11" fillId="6" borderId="24" xfId="0" applyNumberFormat="1" applyFont="1" applyFill="1" applyBorder="1" applyAlignment="1">
      <alignment horizontal="center"/>
    </xf>
    <xf numFmtId="169" fontId="11" fillId="6" borderId="25" xfId="0" applyNumberFormat="1" applyFont="1" applyFill="1" applyBorder="1" applyAlignment="1">
      <alignment horizontal="center"/>
    </xf>
    <xf numFmtId="0" fontId="4" fillId="0" borderId="19" xfId="0" applyFont="1" applyBorder="1"/>
    <xf numFmtId="0" fontId="13" fillId="0" borderId="0" xfId="0" applyFont="1"/>
    <xf numFmtId="0" fontId="14" fillId="0" borderId="0" xfId="0" applyFont="1"/>
    <xf numFmtId="0" fontId="12" fillId="0" borderId="0" xfId="0" applyFont="1" applyFill="1" applyBorder="1" applyAlignment="1">
      <alignment horizontal="center"/>
    </xf>
    <xf numFmtId="0" fontId="12" fillId="0" borderId="0" xfId="0" applyFont="1"/>
    <xf numFmtId="0" fontId="12" fillId="0" borderId="0" xfId="0" applyFont="1" applyAlignment="1">
      <alignment horizontal="center"/>
    </xf>
    <xf numFmtId="169" fontId="11" fillId="6" borderId="28" xfId="0" applyNumberFormat="1" applyFont="1" applyFill="1" applyBorder="1" applyAlignment="1">
      <alignment horizontal="center"/>
    </xf>
    <xf numFmtId="0" fontId="13" fillId="0" borderId="7" xfId="0" applyFont="1" applyBorder="1" applyAlignment="1">
      <alignment horizontal="center"/>
    </xf>
    <xf numFmtId="169" fontId="2" fillId="0" borderId="0" xfId="0" applyNumberFormat="1" applyFont="1" applyBorder="1"/>
    <xf numFmtId="0" fontId="0" fillId="0" borderId="14" xfId="0" applyBorder="1" applyAlignment="1">
      <alignment horizontal="center"/>
    </xf>
    <xf numFmtId="169" fontId="0" fillId="0" borderId="35" xfId="0" applyNumberFormat="1" applyBorder="1" applyAlignment="1">
      <alignment horizontal="center"/>
    </xf>
    <xf numFmtId="169" fontId="0" fillId="0" borderId="36" xfId="0" applyNumberFormat="1" applyBorder="1" applyAlignment="1">
      <alignment horizontal="center"/>
    </xf>
    <xf numFmtId="169" fontId="0" fillId="0" borderId="36" xfId="0" applyNumberFormat="1" applyFill="1" applyBorder="1" applyAlignment="1">
      <alignment horizontal="center"/>
    </xf>
    <xf numFmtId="169" fontId="0" fillId="0" borderId="29" xfId="0" applyNumberFormat="1" applyBorder="1" applyAlignment="1">
      <alignment horizontal="center"/>
    </xf>
    <xf numFmtId="167" fontId="0" fillId="0" borderId="13" xfId="3" applyNumberFormat="1" applyFont="1" applyBorder="1" applyAlignment="1">
      <alignment horizontal="center"/>
    </xf>
    <xf numFmtId="167" fontId="0" fillId="0" borderId="19" xfId="3" applyNumberFormat="1" applyFont="1" applyBorder="1" applyAlignment="1">
      <alignment horizontal="center"/>
    </xf>
    <xf numFmtId="167" fontId="0" fillId="0" borderId="19" xfId="3" applyNumberFormat="1" applyFont="1" applyFill="1" applyBorder="1" applyAlignment="1">
      <alignment horizontal="center"/>
    </xf>
    <xf numFmtId="167" fontId="0" fillId="0" borderId="16" xfId="3" applyNumberFormat="1" applyFont="1" applyBorder="1" applyAlignment="1">
      <alignment horizontal="center"/>
    </xf>
    <xf numFmtId="167" fontId="0" fillId="0" borderId="16" xfId="3" applyNumberFormat="1" applyFont="1" applyFill="1" applyBorder="1" applyAlignment="1">
      <alignment horizontal="center"/>
    </xf>
    <xf numFmtId="0" fontId="2" fillId="0" borderId="17" xfId="0" applyFont="1" applyFill="1" applyBorder="1" applyAlignment="1">
      <alignment horizontal="center"/>
    </xf>
    <xf numFmtId="0" fontId="0" fillId="0" borderId="17" xfId="0" applyFill="1" applyBorder="1" applyAlignment="1">
      <alignment horizontal="center"/>
    </xf>
    <xf numFmtId="167" fontId="0" fillId="0" borderId="13" xfId="3" applyNumberFormat="1" applyFont="1" applyFill="1" applyBorder="1" applyAlignment="1">
      <alignment horizontal="center"/>
    </xf>
    <xf numFmtId="0" fontId="0" fillId="0" borderId="14" xfId="0" applyFill="1" applyBorder="1" applyAlignment="1">
      <alignment horizontal="center"/>
    </xf>
    <xf numFmtId="0" fontId="2" fillId="0" borderId="17" xfId="0" applyFont="1" applyBorder="1" applyAlignment="1">
      <alignment horizontal="center"/>
    </xf>
    <xf numFmtId="0" fontId="9" fillId="0" borderId="29" xfId="0" applyFont="1" applyBorder="1" applyAlignment="1">
      <alignment vertical="top" wrapText="1"/>
    </xf>
    <xf numFmtId="0" fontId="0" fillId="0" borderId="35" xfId="0" applyBorder="1" applyAlignment="1">
      <alignment vertical="top" wrapText="1"/>
    </xf>
    <xf numFmtId="0" fontId="0" fillId="0" borderId="36" xfId="0" quotePrefix="1" applyBorder="1" applyAlignment="1">
      <alignment vertical="top"/>
    </xf>
    <xf numFmtId="0" fontId="0" fillId="0" borderId="29" xfId="0" applyBorder="1" applyAlignment="1">
      <alignment vertical="top" wrapText="1"/>
    </xf>
    <xf numFmtId="0" fontId="0" fillId="0" borderId="35" xfId="0" applyBorder="1" applyAlignment="1">
      <alignment vertical="top"/>
    </xf>
    <xf numFmtId="0" fontId="0" fillId="0" borderId="36" xfId="0" applyBorder="1" applyAlignment="1">
      <alignment vertical="top"/>
    </xf>
    <xf numFmtId="0" fontId="0" fillId="0" borderId="29" xfId="0" applyBorder="1" applyAlignment="1">
      <alignment vertical="top"/>
    </xf>
    <xf numFmtId="0" fontId="0" fillId="0" borderId="22" xfId="0" applyBorder="1" applyAlignment="1">
      <alignment vertical="top"/>
    </xf>
    <xf numFmtId="0" fontId="2" fillId="0" borderId="35" xfId="0" applyFont="1" applyBorder="1"/>
    <xf numFmtId="0" fontId="2" fillId="0" borderId="29" xfId="0" applyFont="1" applyBorder="1"/>
    <xf numFmtId="0" fontId="16" fillId="0" borderId="0" xfId="0" applyFont="1"/>
    <xf numFmtId="169" fontId="11" fillId="6" borderId="37" xfId="0" applyNumberFormat="1" applyFont="1" applyFill="1" applyBorder="1" applyAlignment="1">
      <alignment horizontal="center"/>
    </xf>
    <xf numFmtId="169" fontId="2" fillId="6" borderId="37" xfId="0" applyNumberFormat="1" applyFont="1" applyFill="1" applyBorder="1" applyAlignment="1">
      <alignment horizontal="center"/>
    </xf>
    <xf numFmtId="0" fontId="2" fillId="0" borderId="0" xfId="0" applyFont="1" applyAlignment="1">
      <alignment horizontal="center"/>
    </xf>
    <xf numFmtId="170" fontId="0" fillId="0" borderId="0" xfId="1" applyNumberFormat="1" applyFont="1" applyFill="1"/>
    <xf numFmtId="168" fontId="0" fillId="0" borderId="0" xfId="0" applyNumberFormat="1"/>
    <xf numFmtId="170" fontId="2" fillId="6" borderId="15" xfId="0" applyNumberFormat="1" applyFont="1" applyFill="1" applyBorder="1" applyAlignment="1">
      <alignment horizontal="center"/>
    </xf>
    <xf numFmtId="170" fontId="2" fillId="6" borderId="20" xfId="0" applyNumberFormat="1" applyFont="1" applyFill="1" applyBorder="1" applyAlignment="1">
      <alignment horizontal="center"/>
    </xf>
    <xf numFmtId="0" fontId="0" fillId="0" borderId="17" xfId="0" applyBorder="1"/>
    <xf numFmtId="170" fontId="2" fillId="6" borderId="18" xfId="0" applyNumberFormat="1" applyFont="1" applyFill="1" applyBorder="1" applyAlignment="1">
      <alignment horizontal="center"/>
    </xf>
    <xf numFmtId="169" fontId="2" fillId="6" borderId="35" xfId="0" applyNumberFormat="1" applyFont="1" applyFill="1" applyBorder="1" applyAlignment="1">
      <alignment horizontal="center"/>
    </xf>
    <xf numFmtId="169" fontId="2" fillId="6" borderId="36" xfId="0" applyNumberFormat="1" applyFont="1" applyFill="1" applyBorder="1" applyAlignment="1">
      <alignment horizontal="center"/>
    </xf>
    <xf numFmtId="169" fontId="2" fillId="6" borderId="29" xfId="0" applyNumberFormat="1" applyFont="1" applyFill="1" applyBorder="1" applyAlignment="1">
      <alignment horizontal="center"/>
    </xf>
    <xf numFmtId="0" fontId="0" fillId="0" borderId="0" xfId="0" applyFill="1" applyAlignment="1">
      <alignment vertical="top"/>
    </xf>
    <xf numFmtId="0" fontId="8" fillId="0" borderId="35" xfId="0" quotePrefix="1" applyFont="1" applyFill="1" applyBorder="1" applyAlignment="1">
      <alignment vertical="top"/>
    </xf>
    <xf numFmtId="0" fontId="8" fillId="0" borderId="36" xfId="0" quotePrefix="1" applyFont="1" applyFill="1" applyBorder="1" applyAlignment="1">
      <alignment vertical="top"/>
    </xf>
    <xf numFmtId="0" fontId="8" fillId="0" borderId="29" xfId="0" quotePrefix="1" applyFont="1" applyFill="1" applyBorder="1" applyAlignment="1">
      <alignment vertical="top"/>
    </xf>
    <xf numFmtId="0" fontId="3" fillId="0" borderId="0" xfId="0" applyFont="1" applyAlignment="1">
      <alignment vertical="top"/>
    </xf>
    <xf numFmtId="0" fontId="0" fillId="0" borderId="22" xfId="0" applyBorder="1" applyAlignment="1">
      <alignment wrapText="1"/>
    </xf>
    <xf numFmtId="167" fontId="0" fillId="0" borderId="0" xfId="3" applyNumberFormat="1" applyFont="1" applyFill="1" applyBorder="1" applyAlignment="1">
      <alignment horizontal="center"/>
    </xf>
    <xf numFmtId="169" fontId="0" fillId="0" borderId="0" xfId="0" applyNumberFormat="1" applyFill="1" applyBorder="1" applyAlignment="1">
      <alignment horizontal="center"/>
    </xf>
    <xf numFmtId="167" fontId="0" fillId="0" borderId="0" xfId="3" applyNumberFormat="1" applyFont="1" applyBorder="1" applyAlignment="1">
      <alignment horizontal="center"/>
    </xf>
    <xf numFmtId="169" fontId="0" fillId="0" borderId="0" xfId="0" applyNumberFormat="1" applyBorder="1" applyAlignment="1">
      <alignment horizontal="center"/>
    </xf>
    <xf numFmtId="171" fontId="0" fillId="0" borderId="0" xfId="0" applyNumberFormat="1"/>
    <xf numFmtId="0" fontId="17" fillId="0" borderId="0" xfId="4"/>
    <xf numFmtId="0" fontId="2" fillId="0" borderId="7"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2" fillId="0" borderId="8" xfId="0" applyFont="1" applyFill="1" applyBorder="1" applyAlignment="1">
      <alignment horizontal="center"/>
    </xf>
    <xf numFmtId="0" fontId="2" fillId="0" borderId="6" xfId="0" applyFont="1" applyBorder="1"/>
    <xf numFmtId="0" fontId="2" fillId="2" borderId="0" xfId="0" quotePrefix="1" applyFont="1" applyFill="1"/>
    <xf numFmtId="0" fontId="2" fillId="0" borderId="5" xfId="0" applyFont="1" applyBorder="1"/>
    <xf numFmtId="0" fontId="2" fillId="0" borderId="8" xfId="0" applyFont="1" applyBorder="1"/>
    <xf numFmtId="0" fontId="2" fillId="0" borderId="4" xfId="0" applyFont="1" applyBorder="1" applyAlignment="1">
      <alignment horizontal="center"/>
    </xf>
    <xf numFmtId="0" fontId="2" fillId="0" borderId="6" xfId="0" applyFont="1" applyBorder="1" applyAlignment="1">
      <alignment horizontal="center"/>
    </xf>
    <xf numFmtId="10" fontId="0" fillId="0" borderId="39" xfId="3" applyNumberFormat="1" applyFont="1"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2" fillId="0" borderId="0" xfId="0" quotePrefix="1" applyFont="1"/>
    <xf numFmtId="0" fontId="17" fillId="0" borderId="0" xfId="4" quotePrefix="1"/>
    <xf numFmtId="0" fontId="17" fillId="0" borderId="0" xfId="4" applyFill="1" applyBorder="1" applyAlignment="1">
      <alignment vertical="top"/>
    </xf>
    <xf numFmtId="0" fontId="17" fillId="0" borderId="0" xfId="4" quotePrefix="1" applyAlignment="1">
      <alignment vertical="top"/>
    </xf>
    <xf numFmtId="0" fontId="4" fillId="0" borderId="7" xfId="0" applyFont="1" applyBorder="1" applyAlignment="1">
      <alignment vertical="top"/>
    </xf>
    <xf numFmtId="0" fontId="0" fillId="0" borderId="0" xfId="0" quotePrefix="1" applyAlignment="1">
      <alignment horizontal="left"/>
    </xf>
    <xf numFmtId="0" fontId="0" fillId="0" borderId="0" xfId="0" applyBorder="1" applyAlignment="1">
      <alignment vertical="top"/>
    </xf>
    <xf numFmtId="0" fontId="2" fillId="0" borderId="0" xfId="0" applyFont="1" applyAlignment="1">
      <alignment vertical="top" wrapText="1"/>
    </xf>
    <xf numFmtId="10" fontId="2" fillId="10" borderId="39" xfId="3" applyNumberFormat="1" applyFont="1" applyFill="1" applyBorder="1" applyAlignment="1">
      <alignment horizontal="center"/>
    </xf>
    <xf numFmtId="0" fontId="2" fillId="10" borderId="38" xfId="0" applyFont="1" applyFill="1" applyBorder="1" applyAlignment="1">
      <alignment horizontal="center"/>
    </xf>
    <xf numFmtId="0" fontId="2" fillId="10" borderId="40" xfId="0" applyFont="1" applyFill="1" applyBorder="1" applyAlignment="1">
      <alignment horizontal="center"/>
    </xf>
    <xf numFmtId="0" fontId="17" fillId="0" borderId="0" xfId="4" applyAlignment="1"/>
    <xf numFmtId="0" fontId="2" fillId="0" borderId="22" xfId="0" applyFont="1" applyBorder="1" applyAlignment="1">
      <alignment vertical="top" wrapText="1"/>
    </xf>
    <xf numFmtId="0" fontId="8" fillId="0" borderId="0" xfId="4" applyFont="1" applyAlignment="1"/>
    <xf numFmtId="0" fontId="17" fillId="0" borderId="26" xfId="4" quotePrefix="1" applyBorder="1" applyAlignment="1">
      <alignment vertical="top"/>
    </xf>
    <xf numFmtId="0" fontId="17" fillId="0" borderId="41" xfId="4" quotePrefix="1" applyBorder="1" applyAlignment="1">
      <alignment vertical="top"/>
    </xf>
    <xf numFmtId="0" fontId="2" fillId="0" borderId="41" xfId="0" applyFont="1" applyBorder="1" applyAlignment="1">
      <alignment vertical="top"/>
    </xf>
    <xf numFmtId="0" fontId="17" fillId="0" borderId="27" xfId="4" quotePrefix="1" applyBorder="1" applyAlignment="1">
      <alignment vertical="top"/>
    </xf>
    <xf numFmtId="166" fontId="0" fillId="0" borderId="0" xfId="0" applyNumberFormat="1" applyFill="1"/>
    <xf numFmtId="169" fontId="2" fillId="0" borderId="23" xfId="0" applyNumberFormat="1" applyFont="1" applyBorder="1"/>
    <xf numFmtId="0" fontId="16" fillId="0" borderId="1" xfId="0" applyFont="1" applyBorder="1"/>
    <xf numFmtId="0" fontId="0" fillId="0" borderId="2" xfId="0" applyBorder="1"/>
    <xf numFmtId="0" fontId="0" fillId="0" borderId="3" xfId="0" applyBorder="1"/>
    <xf numFmtId="0" fontId="0" fillId="0" borderId="5" xfId="0" applyBorder="1"/>
    <xf numFmtId="0" fontId="2" fillId="0" borderId="4" xfId="0" applyFont="1" applyBorder="1"/>
    <xf numFmtId="0" fontId="0" fillId="0" borderId="7" xfId="0" applyBorder="1"/>
    <xf numFmtId="0" fontId="0" fillId="0" borderId="8" xfId="0" applyBorder="1"/>
  </cellXfs>
  <cellStyles count="5">
    <cellStyle name="Comma" xfId="1" builtinId="3"/>
    <cellStyle name="Currency" xfId="2" builtinId="4"/>
    <cellStyle name="Hyperlink" xfId="4" builtinId="8"/>
    <cellStyle name="Normal" xfId="0" builtinId="0"/>
    <cellStyle name="Percent" xfId="3" builtinId="5"/>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0</xdr:col>
      <xdr:colOff>2057400</xdr:colOff>
      <xdr:row>97</xdr:row>
      <xdr:rowOff>127635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573875"/>
          <a:ext cx="2057400" cy="1080135"/>
        </a:xfrm>
        <a:prstGeom prst="rect">
          <a:avLst/>
        </a:prstGeom>
      </xdr:spPr>
    </xdr:pic>
    <xdr:clientData/>
  </xdr:twoCellAnchor>
  <xdr:twoCellAnchor editAs="oneCell">
    <xdr:from>
      <xdr:col>0</xdr:col>
      <xdr:colOff>0</xdr:colOff>
      <xdr:row>98</xdr:row>
      <xdr:rowOff>0</xdr:rowOff>
    </xdr:from>
    <xdr:to>
      <xdr:col>0</xdr:col>
      <xdr:colOff>1981200</xdr:colOff>
      <xdr:row>99</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16875"/>
          <a:ext cx="1981200" cy="20955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126</xdr:row>
      <xdr:rowOff>57150</xdr:rowOff>
    </xdr:from>
    <xdr:to>
      <xdr:col>4</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24479250"/>
          <a:ext cx="2057400" cy="1080135"/>
        </a:xfrm>
        <a:prstGeom prst="rect">
          <a:avLst/>
        </a:prstGeom>
      </xdr:spPr>
    </xdr:pic>
    <xdr:clientData/>
  </xdr:twoCellAnchor>
  <xdr:twoCellAnchor editAs="oneCell">
    <xdr:from>
      <xdr:col>2</xdr:col>
      <xdr:colOff>0</xdr:colOff>
      <xdr:row>132</xdr:row>
      <xdr:rowOff>0</xdr:rowOff>
    </xdr:from>
    <xdr:to>
      <xdr:col>4</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25565100"/>
          <a:ext cx="1981200" cy="2095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126</xdr:row>
      <xdr:rowOff>57150</xdr:rowOff>
    </xdr:from>
    <xdr:to>
      <xdr:col>4</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24479250"/>
          <a:ext cx="2057400" cy="1080135"/>
        </a:xfrm>
        <a:prstGeom prst="rect">
          <a:avLst/>
        </a:prstGeom>
      </xdr:spPr>
    </xdr:pic>
    <xdr:clientData/>
  </xdr:twoCellAnchor>
  <xdr:twoCellAnchor editAs="oneCell">
    <xdr:from>
      <xdr:col>2</xdr:col>
      <xdr:colOff>0</xdr:colOff>
      <xdr:row>132</xdr:row>
      <xdr:rowOff>0</xdr:rowOff>
    </xdr:from>
    <xdr:to>
      <xdr:col>4</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25565100"/>
          <a:ext cx="1981200" cy="20955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126</xdr:row>
      <xdr:rowOff>57150</xdr:rowOff>
    </xdr:from>
    <xdr:to>
      <xdr:col>4</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24479250"/>
          <a:ext cx="2057400" cy="1080135"/>
        </a:xfrm>
        <a:prstGeom prst="rect">
          <a:avLst/>
        </a:prstGeom>
      </xdr:spPr>
    </xdr:pic>
    <xdr:clientData/>
  </xdr:twoCellAnchor>
  <xdr:twoCellAnchor editAs="oneCell">
    <xdr:from>
      <xdr:col>2</xdr:col>
      <xdr:colOff>0</xdr:colOff>
      <xdr:row>132</xdr:row>
      <xdr:rowOff>0</xdr:rowOff>
    </xdr:from>
    <xdr:to>
      <xdr:col>4</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25565100"/>
          <a:ext cx="1981200" cy="20955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125</xdr:row>
      <xdr:rowOff>57150</xdr:rowOff>
    </xdr:from>
    <xdr:to>
      <xdr:col>5</xdr:col>
      <xdr:colOff>533400</xdr:colOff>
      <xdr:row>130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24479250"/>
          <a:ext cx="2057400" cy="1080135"/>
        </a:xfrm>
        <a:prstGeom prst="rect">
          <a:avLst/>
        </a:prstGeom>
      </xdr:spPr>
    </xdr:pic>
    <xdr:clientData/>
  </xdr:twoCellAnchor>
  <xdr:twoCellAnchor editAs="oneCell">
    <xdr:from>
      <xdr:col>3</xdr:col>
      <xdr:colOff>0</xdr:colOff>
      <xdr:row>131</xdr:row>
      <xdr:rowOff>0</xdr:rowOff>
    </xdr:from>
    <xdr:to>
      <xdr:col>5</xdr:col>
      <xdr:colOff>457200</xdr:colOff>
      <xdr:row>132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25565100"/>
          <a:ext cx="1981200" cy="2095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2887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374600"/>
          <a:ext cx="1981200" cy="20955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0</xdr:colOff>
      <xdr:row>127</xdr:row>
      <xdr:rowOff>57150</xdr:rowOff>
    </xdr:from>
    <xdr:to>
      <xdr:col>5</xdr:col>
      <xdr:colOff>533400</xdr:colOff>
      <xdr:row>132</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133</xdr:row>
      <xdr:rowOff>0</xdr:rowOff>
    </xdr:from>
    <xdr:to>
      <xdr:col>5</xdr:col>
      <xdr:colOff>457200</xdr:colOff>
      <xdr:row>134</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6697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755600"/>
          <a:ext cx="1981200" cy="20955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0</xdr:colOff>
      <xdr:row>127</xdr:row>
      <xdr:rowOff>57150</xdr:rowOff>
    </xdr:from>
    <xdr:to>
      <xdr:col>5</xdr:col>
      <xdr:colOff>533400</xdr:colOff>
      <xdr:row>132</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133</xdr:row>
      <xdr:rowOff>0</xdr:rowOff>
    </xdr:from>
    <xdr:to>
      <xdr:col>5</xdr:col>
      <xdr:colOff>457200</xdr:colOff>
      <xdr:row>134</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0</xdr:colOff>
      <xdr:row>127</xdr:row>
      <xdr:rowOff>57150</xdr:rowOff>
    </xdr:from>
    <xdr:to>
      <xdr:col>5</xdr:col>
      <xdr:colOff>533400</xdr:colOff>
      <xdr:row>132</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669750"/>
          <a:ext cx="2057400" cy="1080135"/>
        </a:xfrm>
        <a:prstGeom prst="rect">
          <a:avLst/>
        </a:prstGeom>
      </xdr:spPr>
    </xdr:pic>
    <xdr:clientData/>
  </xdr:twoCellAnchor>
  <xdr:twoCellAnchor editAs="oneCell">
    <xdr:from>
      <xdr:col>3</xdr:col>
      <xdr:colOff>0</xdr:colOff>
      <xdr:row>133</xdr:row>
      <xdr:rowOff>0</xdr:rowOff>
    </xdr:from>
    <xdr:to>
      <xdr:col>5</xdr:col>
      <xdr:colOff>457200</xdr:colOff>
      <xdr:row>134</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755600"/>
          <a:ext cx="1981200" cy="209550"/>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0</xdr:colOff>
      <xdr:row>125</xdr:row>
      <xdr:rowOff>57150</xdr:rowOff>
    </xdr:from>
    <xdr:to>
      <xdr:col>5</xdr:col>
      <xdr:colOff>533400</xdr:colOff>
      <xdr:row>130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669750"/>
          <a:ext cx="2057400" cy="1080135"/>
        </a:xfrm>
        <a:prstGeom prst="rect">
          <a:avLst/>
        </a:prstGeom>
      </xdr:spPr>
    </xdr:pic>
    <xdr:clientData/>
  </xdr:twoCellAnchor>
  <xdr:twoCellAnchor editAs="oneCell">
    <xdr:from>
      <xdr:col>3</xdr:col>
      <xdr:colOff>0</xdr:colOff>
      <xdr:row>131</xdr:row>
      <xdr:rowOff>0</xdr:rowOff>
    </xdr:from>
    <xdr:to>
      <xdr:col>5</xdr:col>
      <xdr:colOff>457200</xdr:colOff>
      <xdr:row>132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755600"/>
          <a:ext cx="1981200" cy="2095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130</xdr:row>
      <xdr:rowOff>57150</xdr:rowOff>
    </xdr:from>
    <xdr:to>
      <xdr:col>2</xdr:col>
      <xdr:colOff>533400</xdr:colOff>
      <xdr:row>135</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771900"/>
          <a:ext cx="2057400" cy="1080135"/>
        </a:xfrm>
        <a:prstGeom prst="rect">
          <a:avLst/>
        </a:prstGeom>
      </xdr:spPr>
    </xdr:pic>
    <xdr:clientData/>
  </xdr:twoCellAnchor>
  <xdr:twoCellAnchor editAs="oneCell">
    <xdr:from>
      <xdr:col>0</xdr:col>
      <xdr:colOff>0</xdr:colOff>
      <xdr:row>136</xdr:row>
      <xdr:rowOff>0</xdr:rowOff>
    </xdr:from>
    <xdr:to>
      <xdr:col>2</xdr:col>
      <xdr:colOff>457200</xdr:colOff>
      <xdr:row>137</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0"/>
          <a:ext cx="1981200" cy="209550"/>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2887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374600"/>
          <a:ext cx="1981200" cy="209550"/>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0</xdr:colOff>
      <xdr:row>127</xdr:row>
      <xdr:rowOff>57150</xdr:rowOff>
    </xdr:from>
    <xdr:to>
      <xdr:col>5</xdr:col>
      <xdr:colOff>533400</xdr:colOff>
      <xdr:row>132</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133</xdr:row>
      <xdr:rowOff>0</xdr:rowOff>
    </xdr:from>
    <xdr:to>
      <xdr:col>5</xdr:col>
      <xdr:colOff>457200</xdr:colOff>
      <xdr:row>134</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6697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755600"/>
          <a:ext cx="1981200" cy="209550"/>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127</xdr:row>
      <xdr:rowOff>57150</xdr:rowOff>
    </xdr:from>
    <xdr:to>
      <xdr:col>5</xdr:col>
      <xdr:colOff>533400</xdr:colOff>
      <xdr:row>132</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133</xdr:row>
      <xdr:rowOff>0</xdr:rowOff>
    </xdr:from>
    <xdr:to>
      <xdr:col>5</xdr:col>
      <xdr:colOff>457200</xdr:colOff>
      <xdr:row>134</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0</xdr:colOff>
      <xdr:row>126</xdr:row>
      <xdr:rowOff>57150</xdr:rowOff>
    </xdr:from>
    <xdr:to>
      <xdr:col>5</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669750"/>
          <a:ext cx="2057400" cy="1080135"/>
        </a:xfrm>
        <a:prstGeom prst="rect">
          <a:avLst/>
        </a:prstGeom>
      </xdr:spPr>
    </xdr:pic>
    <xdr:clientData/>
  </xdr:twoCellAnchor>
  <xdr:twoCellAnchor editAs="oneCell">
    <xdr:from>
      <xdr:col>3</xdr:col>
      <xdr:colOff>0</xdr:colOff>
      <xdr:row>132</xdr:row>
      <xdr:rowOff>0</xdr:rowOff>
    </xdr:from>
    <xdr:to>
      <xdr:col>5</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755600"/>
          <a:ext cx="1981200" cy="209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542925</xdr:colOff>
      <xdr:row>12</xdr:row>
      <xdr:rowOff>19050</xdr:rowOff>
    </xdr:from>
    <xdr:to>
      <xdr:col>3</xdr:col>
      <xdr:colOff>352425</xdr:colOff>
      <xdr:row>15</xdr:row>
      <xdr:rowOff>95250</xdr:rowOff>
    </xdr:to>
    <xdr:cxnSp macro="">
      <xdr:nvCxnSpPr>
        <xdr:cNvPr id="7" name="Straight Arrow Connector 6"/>
        <xdr:cNvCxnSpPr/>
      </xdr:nvCxnSpPr>
      <xdr:spPr>
        <a:xfrm>
          <a:off x="3714750" y="2590800"/>
          <a:ext cx="1104900" cy="733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12</xdr:row>
      <xdr:rowOff>19050</xdr:rowOff>
    </xdr:from>
    <xdr:to>
      <xdr:col>1</xdr:col>
      <xdr:colOff>533400</xdr:colOff>
      <xdr:row>15</xdr:row>
      <xdr:rowOff>19050</xdr:rowOff>
    </xdr:to>
    <xdr:cxnSp macro="">
      <xdr:nvCxnSpPr>
        <xdr:cNvPr id="9" name="Straight Arrow Connector 8"/>
        <xdr:cNvCxnSpPr/>
      </xdr:nvCxnSpPr>
      <xdr:spPr>
        <a:xfrm flipH="1">
          <a:off x="3648075" y="2590800"/>
          <a:ext cx="5715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57150</xdr:rowOff>
    </xdr:from>
    <xdr:to>
      <xdr:col>0</xdr:col>
      <xdr:colOff>2057400</xdr:colOff>
      <xdr:row>41</xdr:row>
      <xdr:rowOff>184785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012650"/>
          <a:ext cx="2057400" cy="1080135"/>
        </a:xfrm>
        <a:prstGeom prst="rect">
          <a:avLst/>
        </a:prstGeom>
      </xdr:spPr>
    </xdr:pic>
    <xdr:clientData/>
  </xdr:twoCellAnchor>
  <xdr:twoCellAnchor editAs="oneCell">
    <xdr:from>
      <xdr:col>0</xdr:col>
      <xdr:colOff>0</xdr:colOff>
      <xdr:row>42</xdr:row>
      <xdr:rowOff>0</xdr:rowOff>
    </xdr:from>
    <xdr:to>
      <xdr:col>0</xdr:col>
      <xdr:colOff>1981200</xdr:colOff>
      <xdr:row>43</xdr:row>
      <xdr:rowOff>19050</xdr:rowOff>
    </xdr:to>
    <xdr:pic>
      <xdr:nvPicPr>
        <xdr:cNvPr id="5" name="Picture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098500"/>
          <a:ext cx="1981200" cy="209550"/>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0</xdr:colOff>
      <xdr:row>125</xdr:row>
      <xdr:rowOff>57150</xdr:rowOff>
    </xdr:from>
    <xdr:to>
      <xdr:col>5</xdr:col>
      <xdr:colOff>533400</xdr:colOff>
      <xdr:row>130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479250"/>
          <a:ext cx="2057400" cy="1080135"/>
        </a:xfrm>
        <a:prstGeom prst="rect">
          <a:avLst/>
        </a:prstGeom>
      </xdr:spPr>
    </xdr:pic>
    <xdr:clientData/>
  </xdr:twoCellAnchor>
  <xdr:twoCellAnchor editAs="oneCell">
    <xdr:from>
      <xdr:col>3</xdr:col>
      <xdr:colOff>0</xdr:colOff>
      <xdr:row>131</xdr:row>
      <xdr:rowOff>0</xdr:rowOff>
    </xdr:from>
    <xdr:to>
      <xdr:col>5</xdr:col>
      <xdr:colOff>457200</xdr:colOff>
      <xdr:row>132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565100"/>
          <a:ext cx="1981200" cy="209550"/>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0</xdr:colOff>
      <xdr:row>125</xdr:row>
      <xdr:rowOff>57150</xdr:rowOff>
    </xdr:from>
    <xdr:to>
      <xdr:col>5</xdr:col>
      <xdr:colOff>533400</xdr:colOff>
      <xdr:row>130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288750"/>
          <a:ext cx="2057400" cy="1080135"/>
        </a:xfrm>
        <a:prstGeom prst="rect">
          <a:avLst/>
        </a:prstGeom>
      </xdr:spPr>
    </xdr:pic>
    <xdr:clientData/>
  </xdr:twoCellAnchor>
  <xdr:twoCellAnchor editAs="oneCell">
    <xdr:from>
      <xdr:col>3</xdr:col>
      <xdr:colOff>0</xdr:colOff>
      <xdr:row>131</xdr:row>
      <xdr:rowOff>0</xdr:rowOff>
    </xdr:from>
    <xdr:to>
      <xdr:col>5</xdr:col>
      <xdr:colOff>457200</xdr:colOff>
      <xdr:row>132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374600"/>
          <a:ext cx="1981200" cy="209550"/>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0</xdr:colOff>
      <xdr:row>125</xdr:row>
      <xdr:rowOff>57150</xdr:rowOff>
    </xdr:from>
    <xdr:to>
      <xdr:col>5</xdr:col>
      <xdr:colOff>533400</xdr:colOff>
      <xdr:row>130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288750"/>
          <a:ext cx="2057400" cy="1080135"/>
        </a:xfrm>
        <a:prstGeom prst="rect">
          <a:avLst/>
        </a:prstGeom>
      </xdr:spPr>
    </xdr:pic>
    <xdr:clientData/>
  </xdr:twoCellAnchor>
  <xdr:twoCellAnchor editAs="oneCell">
    <xdr:from>
      <xdr:col>3</xdr:col>
      <xdr:colOff>0</xdr:colOff>
      <xdr:row>131</xdr:row>
      <xdr:rowOff>0</xdr:rowOff>
    </xdr:from>
    <xdr:to>
      <xdr:col>5</xdr:col>
      <xdr:colOff>457200</xdr:colOff>
      <xdr:row>132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374600"/>
          <a:ext cx="1981200" cy="209550"/>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0</xdr:colOff>
      <xdr:row>82</xdr:row>
      <xdr:rowOff>57150</xdr:rowOff>
    </xdr:from>
    <xdr:to>
      <xdr:col>4</xdr:col>
      <xdr:colOff>533400</xdr:colOff>
      <xdr:row>87</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24288750"/>
          <a:ext cx="2057400" cy="1080135"/>
        </a:xfrm>
        <a:prstGeom prst="rect">
          <a:avLst/>
        </a:prstGeom>
      </xdr:spPr>
    </xdr:pic>
    <xdr:clientData/>
  </xdr:twoCellAnchor>
  <xdr:twoCellAnchor editAs="oneCell">
    <xdr:from>
      <xdr:col>2</xdr:col>
      <xdr:colOff>0</xdr:colOff>
      <xdr:row>88</xdr:row>
      <xdr:rowOff>0</xdr:rowOff>
    </xdr:from>
    <xdr:to>
      <xdr:col>4</xdr:col>
      <xdr:colOff>457200</xdr:colOff>
      <xdr:row>89</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25374600"/>
          <a:ext cx="1981200" cy="209550"/>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0</xdr:colOff>
      <xdr:row>82</xdr:row>
      <xdr:rowOff>57150</xdr:rowOff>
    </xdr:from>
    <xdr:to>
      <xdr:col>4</xdr:col>
      <xdr:colOff>533400</xdr:colOff>
      <xdr:row>87</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16078200"/>
          <a:ext cx="2057400" cy="1080135"/>
        </a:xfrm>
        <a:prstGeom prst="rect">
          <a:avLst/>
        </a:prstGeom>
      </xdr:spPr>
    </xdr:pic>
    <xdr:clientData/>
  </xdr:twoCellAnchor>
  <xdr:twoCellAnchor editAs="oneCell">
    <xdr:from>
      <xdr:col>2</xdr:col>
      <xdr:colOff>0</xdr:colOff>
      <xdr:row>88</xdr:row>
      <xdr:rowOff>0</xdr:rowOff>
    </xdr:from>
    <xdr:to>
      <xdr:col>4</xdr:col>
      <xdr:colOff>457200</xdr:colOff>
      <xdr:row>89</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17164050"/>
          <a:ext cx="1981200" cy="209550"/>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0</xdr:colOff>
      <xdr:row>81</xdr:row>
      <xdr:rowOff>57150</xdr:rowOff>
    </xdr:from>
    <xdr:to>
      <xdr:col>4</xdr:col>
      <xdr:colOff>533400</xdr:colOff>
      <xdr:row>86</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16078200"/>
          <a:ext cx="2057400" cy="1080135"/>
        </a:xfrm>
        <a:prstGeom prst="rect">
          <a:avLst/>
        </a:prstGeom>
      </xdr:spPr>
    </xdr:pic>
    <xdr:clientData/>
  </xdr:twoCellAnchor>
  <xdr:twoCellAnchor editAs="oneCell">
    <xdr:from>
      <xdr:col>2</xdr:col>
      <xdr:colOff>0</xdr:colOff>
      <xdr:row>87</xdr:row>
      <xdr:rowOff>0</xdr:rowOff>
    </xdr:from>
    <xdr:to>
      <xdr:col>4</xdr:col>
      <xdr:colOff>457200</xdr:colOff>
      <xdr:row>88</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17164050"/>
          <a:ext cx="1981200" cy="209550"/>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0</xdr:colOff>
      <xdr:row>82</xdr:row>
      <xdr:rowOff>57150</xdr:rowOff>
    </xdr:from>
    <xdr:to>
      <xdr:col>4</xdr:col>
      <xdr:colOff>533400</xdr:colOff>
      <xdr:row>87</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15887700"/>
          <a:ext cx="2057400" cy="1080135"/>
        </a:xfrm>
        <a:prstGeom prst="rect">
          <a:avLst/>
        </a:prstGeom>
      </xdr:spPr>
    </xdr:pic>
    <xdr:clientData/>
  </xdr:twoCellAnchor>
  <xdr:twoCellAnchor editAs="oneCell">
    <xdr:from>
      <xdr:col>2</xdr:col>
      <xdr:colOff>0</xdr:colOff>
      <xdr:row>88</xdr:row>
      <xdr:rowOff>0</xdr:rowOff>
    </xdr:from>
    <xdr:to>
      <xdr:col>4</xdr:col>
      <xdr:colOff>457200</xdr:colOff>
      <xdr:row>89</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16973550"/>
          <a:ext cx="1981200" cy="209550"/>
        </a:xfrm>
        <a:prstGeom prst="rect">
          <a:avLst/>
        </a:prstGeom>
        <a:noFill/>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0</xdr:colOff>
      <xdr:row>123</xdr:row>
      <xdr:rowOff>57150</xdr:rowOff>
    </xdr:from>
    <xdr:to>
      <xdr:col>5</xdr:col>
      <xdr:colOff>533400</xdr:colOff>
      <xdr:row>128</xdr:row>
      <xdr:rowOff>175260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16078200"/>
          <a:ext cx="2057400" cy="1080135"/>
        </a:xfrm>
        <a:prstGeom prst="rect">
          <a:avLst/>
        </a:prstGeom>
      </xdr:spPr>
    </xdr:pic>
    <xdr:clientData/>
  </xdr:twoCellAnchor>
  <xdr:twoCellAnchor editAs="oneCell">
    <xdr:from>
      <xdr:col>3</xdr:col>
      <xdr:colOff>0</xdr:colOff>
      <xdr:row>129</xdr:row>
      <xdr:rowOff>0</xdr:rowOff>
    </xdr:from>
    <xdr:to>
      <xdr:col>5</xdr:col>
      <xdr:colOff>457200</xdr:colOff>
      <xdr:row>130</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17164050"/>
          <a:ext cx="1981200" cy="209550"/>
        </a:xfrm>
        <a:prstGeom prst="rect">
          <a:avLst/>
        </a:prstGeom>
        <a:noFill/>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0</xdr:colOff>
      <xdr:row>125</xdr:row>
      <xdr:rowOff>57150</xdr:rowOff>
    </xdr:from>
    <xdr:to>
      <xdr:col>4</xdr:col>
      <xdr:colOff>533400</xdr:colOff>
      <xdr:row>130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1175" y="14373225"/>
          <a:ext cx="2057400" cy="1080135"/>
        </a:xfrm>
        <a:prstGeom prst="rect">
          <a:avLst/>
        </a:prstGeom>
      </xdr:spPr>
    </xdr:pic>
    <xdr:clientData/>
  </xdr:twoCellAnchor>
  <xdr:twoCellAnchor editAs="oneCell">
    <xdr:from>
      <xdr:col>2</xdr:col>
      <xdr:colOff>0</xdr:colOff>
      <xdr:row>131</xdr:row>
      <xdr:rowOff>0</xdr:rowOff>
    </xdr:from>
    <xdr:to>
      <xdr:col>4</xdr:col>
      <xdr:colOff>457200</xdr:colOff>
      <xdr:row>132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15459075"/>
          <a:ext cx="1981200" cy="209550"/>
        </a:xfrm>
        <a:prstGeom prst="rect">
          <a:avLst/>
        </a:prstGeom>
        <a:noFill/>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0</xdr:colOff>
      <xdr:row>124</xdr:row>
      <xdr:rowOff>57150</xdr:rowOff>
    </xdr:from>
    <xdr:to>
      <xdr:col>6</xdr:col>
      <xdr:colOff>533400</xdr:colOff>
      <xdr:row>129</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24288750"/>
          <a:ext cx="2057400" cy="1080135"/>
        </a:xfrm>
        <a:prstGeom prst="rect">
          <a:avLst/>
        </a:prstGeom>
      </xdr:spPr>
    </xdr:pic>
    <xdr:clientData/>
  </xdr:twoCellAnchor>
  <xdr:twoCellAnchor editAs="oneCell">
    <xdr:from>
      <xdr:col>4</xdr:col>
      <xdr:colOff>0</xdr:colOff>
      <xdr:row>130</xdr:row>
      <xdr:rowOff>0</xdr:rowOff>
    </xdr:from>
    <xdr:to>
      <xdr:col>6</xdr:col>
      <xdr:colOff>457200</xdr:colOff>
      <xdr:row>131</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25374600"/>
          <a:ext cx="1981200" cy="2095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42</xdr:row>
      <xdr:rowOff>57150</xdr:rowOff>
    </xdr:from>
    <xdr:to>
      <xdr:col>3</xdr:col>
      <xdr:colOff>0</xdr:colOff>
      <xdr:row>47</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296150"/>
          <a:ext cx="2057400" cy="1080135"/>
        </a:xfrm>
        <a:prstGeom prst="rect">
          <a:avLst/>
        </a:prstGeom>
      </xdr:spPr>
    </xdr:pic>
    <xdr:clientData/>
  </xdr:twoCellAnchor>
  <xdr:twoCellAnchor editAs="oneCell">
    <xdr:from>
      <xdr:col>0</xdr:col>
      <xdr:colOff>0</xdr:colOff>
      <xdr:row>48</xdr:row>
      <xdr:rowOff>0</xdr:rowOff>
    </xdr:from>
    <xdr:to>
      <xdr:col>2</xdr:col>
      <xdr:colOff>609600</xdr:colOff>
      <xdr:row>49</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82000"/>
          <a:ext cx="1981200" cy="2095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45</xdr:row>
      <xdr:rowOff>57150</xdr:rowOff>
    </xdr:from>
    <xdr:to>
      <xdr:col>3</xdr:col>
      <xdr:colOff>0</xdr:colOff>
      <xdr:row>50</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201025"/>
          <a:ext cx="2057400" cy="1080135"/>
        </a:xfrm>
        <a:prstGeom prst="rect">
          <a:avLst/>
        </a:prstGeom>
      </xdr:spPr>
    </xdr:pic>
    <xdr:clientData/>
  </xdr:twoCellAnchor>
  <xdr:twoCellAnchor editAs="oneCell">
    <xdr:from>
      <xdr:col>0</xdr:col>
      <xdr:colOff>0</xdr:colOff>
      <xdr:row>51</xdr:row>
      <xdr:rowOff>0</xdr:rowOff>
    </xdr:from>
    <xdr:to>
      <xdr:col>2</xdr:col>
      <xdr:colOff>609600</xdr:colOff>
      <xdr:row>52</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86875"/>
          <a:ext cx="1981200" cy="2095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127</xdr:row>
      <xdr:rowOff>57150</xdr:rowOff>
    </xdr:from>
    <xdr:to>
      <xdr:col>3</xdr:col>
      <xdr:colOff>609600</xdr:colOff>
      <xdr:row>132</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858250"/>
          <a:ext cx="2057400" cy="1080135"/>
        </a:xfrm>
        <a:prstGeom prst="rect">
          <a:avLst/>
        </a:prstGeom>
      </xdr:spPr>
    </xdr:pic>
    <xdr:clientData/>
  </xdr:twoCellAnchor>
  <xdr:twoCellAnchor editAs="oneCell">
    <xdr:from>
      <xdr:col>1</xdr:col>
      <xdr:colOff>0</xdr:colOff>
      <xdr:row>133</xdr:row>
      <xdr:rowOff>0</xdr:rowOff>
    </xdr:from>
    <xdr:to>
      <xdr:col>3</xdr:col>
      <xdr:colOff>533400</xdr:colOff>
      <xdr:row>134</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944100"/>
          <a:ext cx="1981200" cy="2095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126</xdr:row>
      <xdr:rowOff>57150</xdr:rowOff>
    </xdr:from>
    <xdr:to>
      <xdr:col>3</xdr:col>
      <xdr:colOff>609600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24669750"/>
          <a:ext cx="2057400" cy="1080135"/>
        </a:xfrm>
        <a:prstGeom prst="rect">
          <a:avLst/>
        </a:prstGeom>
      </xdr:spPr>
    </xdr:pic>
    <xdr:clientData/>
  </xdr:twoCellAnchor>
  <xdr:twoCellAnchor editAs="oneCell">
    <xdr:from>
      <xdr:col>1</xdr:col>
      <xdr:colOff>0</xdr:colOff>
      <xdr:row>132</xdr:row>
      <xdr:rowOff>0</xdr:rowOff>
    </xdr:from>
    <xdr:to>
      <xdr:col>3</xdr:col>
      <xdr:colOff>533400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25755600"/>
          <a:ext cx="1981200" cy="2095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126</xdr:row>
      <xdr:rowOff>57150</xdr:rowOff>
    </xdr:from>
    <xdr:to>
      <xdr:col>4</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24479250"/>
          <a:ext cx="2057400" cy="1080135"/>
        </a:xfrm>
        <a:prstGeom prst="rect">
          <a:avLst/>
        </a:prstGeom>
      </xdr:spPr>
    </xdr:pic>
    <xdr:clientData/>
  </xdr:twoCellAnchor>
  <xdr:twoCellAnchor editAs="oneCell">
    <xdr:from>
      <xdr:col>2</xdr:col>
      <xdr:colOff>0</xdr:colOff>
      <xdr:row>132</xdr:row>
      <xdr:rowOff>0</xdr:rowOff>
    </xdr:from>
    <xdr:to>
      <xdr:col>4</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25565100"/>
          <a:ext cx="1981200" cy="20955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126</xdr:row>
      <xdr:rowOff>57150</xdr:rowOff>
    </xdr:from>
    <xdr:to>
      <xdr:col>4</xdr:col>
      <xdr:colOff>533400</xdr:colOff>
      <xdr:row>131</xdr:row>
      <xdr:rowOff>184785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5" y="24479250"/>
          <a:ext cx="2057400" cy="1080135"/>
        </a:xfrm>
        <a:prstGeom prst="rect">
          <a:avLst/>
        </a:prstGeom>
      </xdr:spPr>
    </xdr:pic>
    <xdr:clientData/>
  </xdr:twoCellAnchor>
  <xdr:twoCellAnchor editAs="oneCell">
    <xdr:from>
      <xdr:col>2</xdr:col>
      <xdr:colOff>0</xdr:colOff>
      <xdr:row>132</xdr:row>
      <xdr:rowOff>0</xdr:rowOff>
    </xdr:from>
    <xdr:to>
      <xdr:col>4</xdr:col>
      <xdr:colOff>457200</xdr:colOff>
      <xdr:row>133</xdr:row>
      <xdr:rowOff>19050</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25565100"/>
          <a:ext cx="1981200" cy="2095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ctuary.org/committees/dynamic/SVLMODERNIZATION"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mort.soa.org/ViewTable.aspx?&amp;TableIdentity=2585" TargetMode="External"/><Relationship Id="rId1" Type="http://schemas.openxmlformats.org/officeDocument/2006/relationships/hyperlink" Target="http://mort.soa.org/ViewTable.aspx?&amp;TableIdentity=2585"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1"/>
  <sheetViews>
    <sheetView tabSelected="1" workbookViewId="0">
      <selection activeCell="A105" sqref="A105"/>
    </sheetView>
  </sheetViews>
  <sheetFormatPr defaultRowHeight="15" x14ac:dyDescent="0.25"/>
  <cols>
    <col min="1" max="1" width="28.25" customWidth="1"/>
    <col min="2" max="2" width="103.75" customWidth="1"/>
    <col min="3" max="3" width="40.125" customWidth="1"/>
  </cols>
  <sheetData>
    <row r="1" spans="1:2" ht="21" x14ac:dyDescent="0.25">
      <c r="A1" s="159" t="s">
        <v>125</v>
      </c>
      <c r="B1" s="70"/>
    </row>
    <row r="2" spans="1:2" ht="15" customHeight="1" x14ac:dyDescent="0.25">
      <c r="A2" s="159"/>
      <c r="B2" s="70"/>
    </row>
    <row r="3" spans="1:2" ht="21.75" thickBot="1" x14ac:dyDescent="0.3">
      <c r="A3" s="159"/>
      <c r="B3" s="184" t="s">
        <v>209</v>
      </c>
    </row>
    <row r="4" spans="1:2" ht="15" customHeight="1" x14ac:dyDescent="0.25">
      <c r="A4" s="159"/>
      <c r="B4" s="194" t="s">
        <v>210</v>
      </c>
    </row>
    <row r="5" spans="1:2" ht="15" customHeight="1" x14ac:dyDescent="0.25">
      <c r="A5" s="159"/>
      <c r="B5" s="195" t="s">
        <v>211</v>
      </c>
    </row>
    <row r="6" spans="1:2" ht="15" customHeight="1" x14ac:dyDescent="0.25">
      <c r="A6" s="159"/>
      <c r="B6" s="195" t="s">
        <v>217</v>
      </c>
    </row>
    <row r="7" spans="1:2" ht="15" customHeight="1" x14ac:dyDescent="0.25">
      <c r="A7" s="159"/>
      <c r="B7" s="195" t="s">
        <v>222</v>
      </c>
    </row>
    <row r="8" spans="1:2" ht="15" customHeight="1" x14ac:dyDescent="0.25">
      <c r="A8" s="159"/>
      <c r="B8" s="196" t="s">
        <v>234</v>
      </c>
    </row>
    <row r="9" spans="1:2" ht="15" customHeight="1" x14ac:dyDescent="0.25">
      <c r="A9" s="159"/>
      <c r="B9" s="195" t="s">
        <v>223</v>
      </c>
    </row>
    <row r="10" spans="1:2" ht="15" customHeight="1" x14ac:dyDescent="0.25">
      <c r="A10" s="159"/>
      <c r="B10" s="195" t="s">
        <v>212</v>
      </c>
    </row>
    <row r="11" spans="1:2" ht="15" customHeight="1" x14ac:dyDescent="0.25">
      <c r="A11" s="159"/>
      <c r="B11" s="195" t="s">
        <v>213</v>
      </c>
    </row>
    <row r="12" spans="1:2" ht="15" customHeight="1" x14ac:dyDescent="0.25">
      <c r="A12" s="159"/>
      <c r="B12" s="195" t="s">
        <v>214</v>
      </c>
    </row>
    <row r="13" spans="1:2" ht="15" customHeight="1" x14ac:dyDescent="0.25">
      <c r="A13" s="159"/>
      <c r="B13" s="195" t="s">
        <v>215</v>
      </c>
    </row>
    <row r="14" spans="1:2" ht="15" customHeight="1" thickBot="1" x14ac:dyDescent="0.3">
      <c r="A14" s="159"/>
      <c r="B14" s="197" t="s">
        <v>216</v>
      </c>
    </row>
    <row r="15" spans="1:2" ht="15" customHeight="1" x14ac:dyDescent="0.25">
      <c r="A15" s="159"/>
      <c r="B15" s="183"/>
    </row>
    <row r="16" spans="1:2" ht="12" customHeight="1" x14ac:dyDescent="0.25">
      <c r="A16" s="159"/>
      <c r="B16" s="70"/>
    </row>
    <row r="17" spans="1:2" x14ac:dyDescent="0.25">
      <c r="A17" s="69" t="s">
        <v>75</v>
      </c>
      <c r="B17" s="160" t="s">
        <v>133</v>
      </c>
    </row>
    <row r="18" spans="1:2" ht="30" x14ac:dyDescent="0.25">
      <c r="A18" s="70"/>
      <c r="B18" s="74" t="s">
        <v>224</v>
      </c>
    </row>
    <row r="19" spans="1:2" x14ac:dyDescent="0.25">
      <c r="A19" s="69" t="s">
        <v>76</v>
      </c>
      <c r="B19" s="139" t="s">
        <v>77</v>
      </c>
    </row>
    <row r="20" spans="1:2" x14ac:dyDescent="0.25">
      <c r="A20" s="69"/>
      <c r="B20" s="186"/>
    </row>
    <row r="21" spans="1:2" ht="30" x14ac:dyDescent="0.25">
      <c r="A21" s="187" t="s">
        <v>221</v>
      </c>
      <c r="B21" s="191" t="s">
        <v>220</v>
      </c>
    </row>
    <row r="22" spans="1:2" x14ac:dyDescent="0.25">
      <c r="A22" s="187"/>
      <c r="B22" s="191"/>
    </row>
    <row r="23" spans="1:2" ht="30" x14ac:dyDescent="0.25">
      <c r="A23" s="187" t="s">
        <v>225</v>
      </c>
      <c r="B23" s="193" t="s">
        <v>226</v>
      </c>
    </row>
    <row r="24" spans="1:2" x14ac:dyDescent="0.25">
      <c r="A24" s="70"/>
      <c r="B24" s="70"/>
    </row>
    <row r="25" spans="1:2" x14ac:dyDescent="0.25">
      <c r="A25" s="69" t="s">
        <v>235</v>
      </c>
      <c r="B25" s="70"/>
    </row>
    <row r="26" spans="1:2" x14ac:dyDescent="0.25">
      <c r="A26" s="70"/>
      <c r="B26" s="70"/>
    </row>
    <row r="27" spans="1:2" x14ac:dyDescent="0.25">
      <c r="A27" s="71" t="s">
        <v>236</v>
      </c>
      <c r="B27" s="71" t="s">
        <v>237</v>
      </c>
    </row>
    <row r="28" spans="1:2" ht="61.5" customHeight="1" x14ac:dyDescent="0.25">
      <c r="A28" s="75" t="s">
        <v>159</v>
      </c>
      <c r="B28" s="192" t="s">
        <v>238</v>
      </c>
    </row>
    <row r="29" spans="1:2" x14ac:dyDescent="0.25">
      <c r="A29" s="75" t="s">
        <v>82</v>
      </c>
      <c r="B29" s="136" t="s">
        <v>126</v>
      </c>
    </row>
    <row r="30" spans="1:2" x14ac:dyDescent="0.25">
      <c r="A30" s="75"/>
      <c r="B30" s="137" t="s">
        <v>127</v>
      </c>
    </row>
    <row r="31" spans="1:2" x14ac:dyDescent="0.25">
      <c r="A31" s="75"/>
      <c r="B31" s="132" t="s">
        <v>102</v>
      </c>
    </row>
    <row r="32" spans="1:2" ht="60" x14ac:dyDescent="0.25">
      <c r="A32" s="75" t="s">
        <v>104</v>
      </c>
      <c r="B32" s="133" t="s">
        <v>239</v>
      </c>
    </row>
    <row r="33" spans="1:2" x14ac:dyDescent="0.25">
      <c r="A33" s="76"/>
      <c r="B33" s="134" t="s">
        <v>105</v>
      </c>
    </row>
    <row r="34" spans="1:2" x14ac:dyDescent="0.25">
      <c r="A34" s="76"/>
      <c r="B34" s="134" t="s">
        <v>108</v>
      </c>
    </row>
    <row r="35" spans="1:2" x14ac:dyDescent="0.25">
      <c r="A35" s="76"/>
      <c r="B35" s="134" t="s">
        <v>106</v>
      </c>
    </row>
    <row r="36" spans="1:2" ht="45" x14ac:dyDescent="0.25">
      <c r="A36" s="76"/>
      <c r="B36" s="135" t="s">
        <v>107</v>
      </c>
    </row>
    <row r="37" spans="1:2" x14ac:dyDescent="0.25">
      <c r="A37" s="76" t="s">
        <v>85</v>
      </c>
      <c r="B37" s="136" t="s">
        <v>128</v>
      </c>
    </row>
    <row r="38" spans="1:2" x14ac:dyDescent="0.25">
      <c r="A38" s="76"/>
      <c r="B38" s="137" t="s">
        <v>86</v>
      </c>
    </row>
    <row r="39" spans="1:2" x14ac:dyDescent="0.25">
      <c r="A39" s="76"/>
      <c r="B39" s="137" t="s">
        <v>87</v>
      </c>
    </row>
    <row r="40" spans="1:2" x14ac:dyDescent="0.25">
      <c r="B40" s="137" t="s">
        <v>240</v>
      </c>
    </row>
    <row r="41" spans="1:2" x14ac:dyDescent="0.25">
      <c r="B41" s="137" t="s">
        <v>88</v>
      </c>
    </row>
    <row r="42" spans="1:2" x14ac:dyDescent="0.25">
      <c r="B42" s="137" t="s">
        <v>89</v>
      </c>
    </row>
    <row r="43" spans="1:2" x14ac:dyDescent="0.25">
      <c r="B43" s="137" t="s">
        <v>90</v>
      </c>
    </row>
    <row r="44" spans="1:2" x14ac:dyDescent="0.25">
      <c r="B44" s="138" t="s">
        <v>129</v>
      </c>
    </row>
    <row r="45" spans="1:2" x14ac:dyDescent="0.25">
      <c r="A45" s="76" t="s">
        <v>137</v>
      </c>
      <c r="B45" s="139" t="s">
        <v>91</v>
      </c>
    </row>
    <row r="46" spans="1:2" x14ac:dyDescent="0.25">
      <c r="A46" s="76" t="s">
        <v>109</v>
      </c>
      <c r="B46" s="156" t="s">
        <v>78</v>
      </c>
    </row>
    <row r="47" spans="1:2" x14ac:dyDescent="0.25">
      <c r="A47" s="155"/>
      <c r="B47" s="157" t="s">
        <v>124</v>
      </c>
    </row>
    <row r="48" spans="1:2" x14ac:dyDescent="0.25">
      <c r="A48" s="24"/>
      <c r="B48" s="158" t="s">
        <v>123</v>
      </c>
    </row>
    <row r="49" spans="1:2" x14ac:dyDescent="0.25">
      <c r="A49" s="24"/>
      <c r="B49" s="24"/>
    </row>
    <row r="51" spans="1:2" x14ac:dyDescent="0.25">
      <c r="A51" s="1" t="s">
        <v>208</v>
      </c>
      <c r="B51" s="166" t="s">
        <v>159</v>
      </c>
    </row>
    <row r="52" spans="1:2" x14ac:dyDescent="0.25">
      <c r="B52" s="166" t="s">
        <v>82</v>
      </c>
    </row>
    <row r="53" spans="1:2" x14ac:dyDescent="0.25">
      <c r="B53" s="166" t="s">
        <v>104</v>
      </c>
    </row>
    <row r="54" spans="1:2" x14ac:dyDescent="0.25">
      <c r="B54" s="166" t="s">
        <v>109</v>
      </c>
    </row>
    <row r="55" spans="1:2" x14ac:dyDescent="0.25">
      <c r="B55" s="182" t="s">
        <v>175</v>
      </c>
    </row>
    <row r="56" spans="1:2" x14ac:dyDescent="0.25">
      <c r="B56" s="182" t="s">
        <v>176</v>
      </c>
    </row>
    <row r="57" spans="1:2" x14ac:dyDescent="0.25">
      <c r="B57" s="182" t="s">
        <v>177</v>
      </c>
    </row>
    <row r="58" spans="1:2" x14ac:dyDescent="0.25">
      <c r="B58" s="182" t="s">
        <v>178</v>
      </c>
    </row>
    <row r="59" spans="1:2" x14ac:dyDescent="0.25">
      <c r="B59" s="182" t="s">
        <v>179</v>
      </c>
    </row>
    <row r="60" spans="1:2" x14ac:dyDescent="0.25">
      <c r="B60" s="182" t="s">
        <v>180</v>
      </c>
    </row>
    <row r="61" spans="1:2" x14ac:dyDescent="0.25">
      <c r="B61" s="182" t="s">
        <v>181</v>
      </c>
    </row>
    <row r="62" spans="1:2" x14ac:dyDescent="0.25">
      <c r="B62" s="182" t="s">
        <v>182</v>
      </c>
    </row>
    <row r="63" spans="1:2" x14ac:dyDescent="0.25">
      <c r="B63" s="182" t="s">
        <v>183</v>
      </c>
    </row>
    <row r="64" spans="1:2" x14ac:dyDescent="0.25">
      <c r="B64" s="182" t="s">
        <v>184</v>
      </c>
    </row>
    <row r="65" spans="2:2" x14ac:dyDescent="0.25">
      <c r="B65" s="182" t="s">
        <v>185</v>
      </c>
    </row>
    <row r="66" spans="2:2" x14ac:dyDescent="0.25">
      <c r="B66" s="182" t="s">
        <v>187</v>
      </c>
    </row>
    <row r="67" spans="2:2" x14ac:dyDescent="0.25">
      <c r="B67" s="182" t="s">
        <v>188</v>
      </c>
    </row>
    <row r="68" spans="2:2" x14ac:dyDescent="0.25">
      <c r="B68" s="182" t="s">
        <v>189</v>
      </c>
    </row>
    <row r="69" spans="2:2" x14ac:dyDescent="0.25">
      <c r="B69" s="182" t="s">
        <v>190</v>
      </c>
    </row>
    <row r="70" spans="2:2" x14ac:dyDescent="0.25">
      <c r="B70" s="182" t="s">
        <v>186</v>
      </c>
    </row>
    <row r="71" spans="2:2" x14ac:dyDescent="0.25">
      <c r="B71" s="182" t="s">
        <v>193</v>
      </c>
    </row>
    <row r="72" spans="2:2" x14ac:dyDescent="0.25">
      <c r="B72" s="182" t="s">
        <v>191</v>
      </c>
    </row>
    <row r="73" spans="2:2" x14ac:dyDescent="0.25">
      <c r="B73" s="182" t="s">
        <v>192</v>
      </c>
    </row>
    <row r="74" spans="2:2" x14ac:dyDescent="0.25">
      <c r="B74" s="182" t="s">
        <v>194</v>
      </c>
    </row>
    <row r="75" spans="2:2" x14ac:dyDescent="0.25">
      <c r="B75" s="182" t="s">
        <v>195</v>
      </c>
    </row>
    <row r="76" spans="2:2" x14ac:dyDescent="0.25">
      <c r="B76" s="182" t="s">
        <v>196</v>
      </c>
    </row>
    <row r="77" spans="2:2" x14ac:dyDescent="0.25">
      <c r="B77" s="182" t="s">
        <v>197</v>
      </c>
    </row>
    <row r="78" spans="2:2" x14ac:dyDescent="0.25">
      <c r="B78" s="182" t="s">
        <v>198</v>
      </c>
    </row>
    <row r="79" spans="2:2" x14ac:dyDescent="0.25">
      <c r="B79" s="182" t="s">
        <v>199</v>
      </c>
    </row>
    <row r="80" spans="2:2" x14ac:dyDescent="0.25">
      <c r="B80" s="182" t="s">
        <v>200</v>
      </c>
    </row>
    <row r="81" spans="1:2" x14ac:dyDescent="0.25">
      <c r="B81" s="182" t="s">
        <v>201</v>
      </c>
    </row>
    <row r="82" spans="1:2" x14ac:dyDescent="0.25">
      <c r="B82" s="182" t="s">
        <v>202</v>
      </c>
    </row>
    <row r="83" spans="1:2" x14ac:dyDescent="0.25">
      <c r="B83" s="182" t="s">
        <v>203</v>
      </c>
    </row>
    <row r="84" spans="1:2" x14ac:dyDescent="0.25">
      <c r="B84" s="182" t="s">
        <v>204</v>
      </c>
    </row>
    <row r="85" spans="1:2" x14ac:dyDescent="0.25">
      <c r="B85" s="182" t="s">
        <v>205</v>
      </c>
    </row>
    <row r="86" spans="1:2" x14ac:dyDescent="0.25">
      <c r="B86" s="182" t="s">
        <v>206</v>
      </c>
    </row>
    <row r="87" spans="1:2" x14ac:dyDescent="0.25">
      <c r="B87" s="182" t="s">
        <v>207</v>
      </c>
    </row>
    <row r="90" spans="1:2" x14ac:dyDescent="0.25">
      <c r="A90" t="s">
        <v>218</v>
      </c>
      <c r="B90" s="185" t="s">
        <v>219</v>
      </c>
    </row>
    <row r="91" spans="1:2" x14ac:dyDescent="0.25">
      <c r="B91" s="185"/>
    </row>
  </sheetData>
  <hyperlinks>
    <hyperlink ref="B55" location="'Annual Single Life 55'!A1" display="Single Life Age 55, RP = 0"/>
    <hyperlink ref="B56" location="'Annual Single Life 55 RP=15'!A1" display="Single Life Age 55, RP = 15"/>
    <hyperlink ref="B57" location="'Annual Single Life 60'!A1" display="Single Life Age 60, RP = 0"/>
    <hyperlink ref="B58" location="'Annual Single Life 60 RP=15'!A1" display="Single Life Age 60, RP = 15"/>
    <hyperlink ref="B59" location="'Annual Single Life 65'!A1" display="Single Life Age 65, RP = 0"/>
    <hyperlink ref="B60" location="'Annual Single Life 65 RP=15'!A1" display="Single Life Age 65, RP = 15"/>
    <hyperlink ref="B61" location="'Annual Single Life 70'!A1" display="Single Life Age 70, RP = 0"/>
    <hyperlink ref="B62" location="'Annual Single Life 70 RP=15'!A1" display="Single Life Age 70, RP = 15"/>
    <hyperlink ref="B63" location="'Annual Single Life 75'!A1" display="Single Life Age 75, RP =  0"/>
    <hyperlink ref="B64" location="'Annual Single Life 75 RP=10'!A1" display="Single Life Age 75, RP = 10"/>
    <hyperlink ref="B65" location="'Annual Single Life 75 RP=15'!A1" display="Single Life Age 75, RP = 15"/>
    <hyperlink ref="B66" location="'Annual Single Life 80'!A1" display="Single Life Age 80, RP = 0"/>
    <hyperlink ref="B67" location="'Annual Single Life 80 RP=5'!A1" display="Single Life Age 80, RP = 5"/>
    <hyperlink ref="B68" location="'Annual Single Life 80 RP=10'!A1" display="Single Life Age 80, RP = 10"/>
    <hyperlink ref="B69" location="'Annual Single Life 80 RP=15'!A1" display="Single Life Age 80, RP = 15"/>
    <hyperlink ref="B70" location="'Annual Single Life 80 RP=20'!A1" display="Single Life Age 80, RP = 20"/>
    <hyperlink ref="B71" location="'Annual Single Life 85'!A1" display="Single Life Age 85, RP = 0"/>
    <hyperlink ref="B72" location="'Annual Single Life 85 RP=5'!A1" display="Single Life Age 85, RP = 5"/>
    <hyperlink ref="B73" location="'Annual Single Life 85 RP=10'!A1" display="Single Life Age 85, RP = 10"/>
    <hyperlink ref="B74" location="'Annual Single Life 85 RP=15'!A1" display="Single Life Age 85, RP = 15"/>
    <hyperlink ref="B75" location="'Annual Single Life 85 RP=20'!A1" display="Single Life Age 85, RP = 20"/>
    <hyperlink ref="B76" location="'Annual Single Life 91'!A1" display="Single Life Age 91, RP = 0"/>
    <hyperlink ref="B77" location="'Annual Single Life 91 RP=5'!A1" display="Single Life Age 91, RP = 5"/>
    <hyperlink ref="B78" location="'Annual Single Life 91 RP=10'!A1" display="Single Life Age 91, RP = 10"/>
    <hyperlink ref="B79" location="'Annual Single Life 91 RP=15'!A1" display="Single Life Age 91, RP = 15"/>
    <hyperlink ref="B80" location="'Annual Single Life 91 RP=20'!A1" display="Single Life Age 91, RP = 20"/>
    <hyperlink ref="B81" location="'5Y Term Certain'!A1" display="5Y Term Certain"/>
    <hyperlink ref="B82" location="'10Y Term Certain'!A1" display="10Y Term Certain"/>
    <hyperlink ref="B83" location="'15Y Term Certain '!A1" display="15Y Term Certain"/>
    <hyperlink ref="B84" location="'25Y Term Certain'!A1" display="25Y Term Certain"/>
    <hyperlink ref="B85" location="'Joint Life 55'!A1" display="Joint Life 55, RP = 0"/>
    <hyperlink ref="B86" location="'Joint Life 55 RP = 15'!A1" display="Joint Life 55, RP = 15"/>
    <hyperlink ref="B87" location="'Joint Life 91'!A1" display="Joint Life 91, RP = 0"/>
    <hyperlink ref="B4" location="'Read Me'!A17" display="   Purpose"/>
    <hyperlink ref="B5" location="'Read Me'!A19" display="   Scope"/>
    <hyperlink ref="B10" location="'Read Me'!A29" display="   Summary"/>
    <hyperlink ref="B11" location="'Read Me'!A32" display="   Asset and Liability Durations"/>
    <hyperlink ref="B12" location="'Read Me'!A37" display="   Example of Detail Tab: Annual Single Life 55"/>
    <hyperlink ref="B13" location="'Read Me'!A45" display="   Example of Detail Tab: Annual Single Life, RP = 15"/>
    <hyperlink ref="B14" location="'Read Me'!A46" display="   Sensitivities"/>
    <hyperlink ref="B51" location="Inputs!A1" display="Inputs"/>
    <hyperlink ref="B52" location="Summary!A1" display="Summary"/>
    <hyperlink ref="B53" location="'Asset and Liability Durations'!A1" display="Asset and Liability Durations"/>
    <hyperlink ref="B54" location="Sensitivities!A1" display="Sensitivities"/>
    <hyperlink ref="B6" location="'Read Me'!A51" display="   Hyperlinks to Worksheet Tabs"/>
    <hyperlink ref="B21" r:id="rId1"/>
    <hyperlink ref="B7" location="'Read Me'!A90" display="   Version History"/>
    <hyperlink ref="B9" location="'Read Me'!A28" display="   Input"/>
  </hyperlinks>
  <pageMargins left="0.45" right="0" top="0.75" bottom="0" header="0.3" footer="0.3"/>
  <pageSetup scale="7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5" workbookViewId="0">
      <selection activeCell="C126" sqref="C126:E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65</v>
      </c>
      <c r="I1" s="3">
        <v>5000</v>
      </c>
      <c r="J1" s="181" t="s">
        <v>173</v>
      </c>
      <c r="L1" s="1"/>
      <c r="M1" s="4"/>
      <c r="N1" s="4"/>
      <c r="O1" s="4"/>
      <c r="P1" s="4"/>
      <c r="Q1" s="64"/>
      <c r="R1" s="28"/>
    </row>
    <row r="2" spans="1:18" ht="15.75" customHeight="1" thickBot="1" x14ac:dyDescent="0.3">
      <c r="B2" t="s">
        <v>227</v>
      </c>
      <c r="C2">
        <v>0</v>
      </c>
      <c r="F2" s="5">
        <f>'Asset and Liability Durations'!N13</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+SUMPRODUCT(B5:B60,I5:I60,F5:F60)/SUMPRODUCT(F5:F60,I5:I60)</f>
        <v>10.661511460981751</v>
      </c>
      <c r="N3" s="10"/>
      <c r="O3" s="10"/>
      <c r="P3" s="10"/>
      <c r="Q3" s="31"/>
      <c r="R3" s="32"/>
    </row>
    <row r="4" spans="1:18" x14ac:dyDescent="0.25">
      <c r="A4">
        <v>64</v>
      </c>
      <c r="B4">
        <v>0</v>
      </c>
      <c r="C4" s="8"/>
      <c r="D4" s="7"/>
      <c r="E4" s="7"/>
      <c r="F4" s="7"/>
      <c r="G4" s="10">
        <v>1</v>
      </c>
      <c r="J4" s="11">
        <f>(SUM(G5:$G$79)*$I$1)</f>
        <v>68325.913044157729</v>
      </c>
      <c r="Q4" s="65">
        <v>0</v>
      </c>
      <c r="R4" s="66">
        <f>Inputs!H7</f>
        <v>1.6050000000000001E-3</v>
      </c>
    </row>
    <row r="5" spans="1:18" ht="15.75" thickBot="1" x14ac:dyDescent="0.3">
      <c r="A5">
        <f>B5+$A$4</f>
        <v>65</v>
      </c>
      <c r="B5">
        <v>1</v>
      </c>
      <c r="C5" s="12">
        <f>VLOOKUP(A5,$Q$4:$R$124,2,FALSE)</f>
        <v>8.1060000000000004E-3</v>
      </c>
      <c r="D5" s="10">
        <f>1-C5</f>
        <v>0.99189400000000005</v>
      </c>
      <c r="E5" s="198">
        <f>IF(B5&lt;=$C$2,1,IF(B5=$C$2+1,PRODUCT($D$5:D5),E4*D5))</f>
        <v>0.99189400000000005</v>
      </c>
      <c r="F5" s="10">
        <f t="shared" ref="F5:F60" si="0">IF(D5=0,0,(1+$F$2)^-B5)</f>
        <v>0.96153846153846145</v>
      </c>
      <c r="G5" s="10">
        <f>F5*E5</f>
        <v>0.95374423076923076</v>
      </c>
      <c r="I5" s="13">
        <f t="shared" ref="I5:I60" si="1">E5*$I$1</f>
        <v>4959.47</v>
      </c>
      <c r="J5" s="11">
        <f>(SUM(G6:$G$79)*$I$1)</f>
        <v>63557.191890311573</v>
      </c>
      <c r="K5" s="11">
        <f>J5-J4</f>
        <v>-4768.7211538461561</v>
      </c>
      <c r="L5" s="14" t="s">
        <v>16</v>
      </c>
      <c r="M5" s="14" t="s">
        <v>17</v>
      </c>
      <c r="N5" s="14" t="s">
        <v>18</v>
      </c>
      <c r="O5" s="14" t="s">
        <v>47</v>
      </c>
      <c r="Q5" s="65">
        <v>1</v>
      </c>
      <c r="R5" s="66">
        <f>Inputs!H8</f>
        <v>4.0099999999999999E-4</v>
      </c>
    </row>
    <row r="6" spans="1:18" x14ac:dyDescent="0.25">
      <c r="A6">
        <f t="shared" ref="A6:A60" si="2">B6+$A$4</f>
        <v>66</v>
      </c>
      <c r="B6">
        <v>2</v>
      </c>
      <c r="C6" s="12">
        <f t="shared" ref="C6:C60" si="3">VLOOKUP(A6,$Q$4:$R$124,2,FALSE)</f>
        <v>8.548E-3</v>
      </c>
      <c r="D6" s="10">
        <f t="shared" ref="D6:D60" si="4">1-C6</f>
        <v>0.991452</v>
      </c>
      <c r="E6" s="198">
        <f>IF(B6&lt;=$C$2,1,IF(B6=$C$2+1,PRODUCT($D$5:D6),E5*D6))</f>
        <v>0.9834152900880001</v>
      </c>
      <c r="F6" s="10">
        <f t="shared" si="0"/>
        <v>0.92455621301775137</v>
      </c>
      <c r="G6" s="10">
        <f t="shared" ref="G6:G60" si="5">F6*E6</f>
        <v>0.90922271642751473</v>
      </c>
      <c r="I6" s="13">
        <f t="shared" si="1"/>
        <v>4917.0764504400004</v>
      </c>
      <c r="J6" s="11">
        <f>(SUM(G7:$G$79)*$I$1)</f>
        <v>59011.078308173994</v>
      </c>
      <c r="K6" s="11">
        <f t="shared" ref="K6:K60" si="6">J6-J5</f>
        <v>-4546.1135821375792</v>
      </c>
      <c r="L6" s="14">
        <v>2</v>
      </c>
      <c r="M6" s="54" t="s">
        <v>44</v>
      </c>
      <c r="N6" s="15">
        <f>SUM(I5:I7)</f>
        <v>14748.995515015808</v>
      </c>
      <c r="O6" s="16">
        <f>N6/SUM($N$6:$N$9)</f>
        <v>0.13533845315760881</v>
      </c>
      <c r="Q6" s="65">
        <v>2</v>
      </c>
      <c r="R6" s="66">
        <f>Inputs!H9</f>
        <v>2.7500000000000002E-4</v>
      </c>
    </row>
    <row r="7" spans="1:18" x14ac:dyDescent="0.25">
      <c r="A7">
        <f t="shared" si="2"/>
        <v>67</v>
      </c>
      <c r="B7">
        <v>3</v>
      </c>
      <c r="C7" s="12">
        <f t="shared" si="3"/>
        <v>9.0760000000000007E-3</v>
      </c>
      <c r="D7" s="10">
        <f t="shared" si="4"/>
        <v>0.99092400000000003</v>
      </c>
      <c r="E7" s="198">
        <f>IF(B7&lt;=$C$2,1,IF(B7=$C$2+1,PRODUCT($D$5:D7),E6*D7))</f>
        <v>0.97448981291516146</v>
      </c>
      <c r="F7" s="10">
        <f t="shared" si="0"/>
        <v>0.88899635867091487</v>
      </c>
      <c r="G7" s="10">
        <f t="shared" si="5"/>
        <v>0.86631789524347957</v>
      </c>
      <c r="I7" s="13">
        <f t="shared" si="1"/>
        <v>4872.4490645758069</v>
      </c>
      <c r="J7" s="11">
        <f>(SUM(G8:$G$79)*$I$1)</f>
        <v>54679.488831956602</v>
      </c>
      <c r="K7" s="11">
        <f t="shared" si="6"/>
        <v>-4331.5894762173921</v>
      </c>
      <c r="L7" s="14">
        <v>5</v>
      </c>
      <c r="M7" s="19" t="s">
        <v>45</v>
      </c>
      <c r="N7" s="17">
        <f>SUM(I8:I11)</f>
        <v>18982.062724326403</v>
      </c>
      <c r="O7" s="18">
        <f>N7/SUM($N$6:$N$9)</f>
        <v>0.17418155726168363</v>
      </c>
      <c r="Q7" s="65">
        <v>3</v>
      </c>
      <c r="R7" s="66">
        <f>Inputs!H10</f>
        <v>2.2900000000000001E-4</v>
      </c>
    </row>
    <row r="8" spans="1:18" x14ac:dyDescent="0.25">
      <c r="A8">
        <f t="shared" si="2"/>
        <v>68</v>
      </c>
      <c r="B8">
        <v>4</v>
      </c>
      <c r="C8" s="12">
        <f t="shared" si="3"/>
        <v>9.7079999999999996E-3</v>
      </c>
      <c r="D8" s="10">
        <f t="shared" si="4"/>
        <v>0.99029199999999995</v>
      </c>
      <c r="E8" s="198">
        <f>IF(B8&lt;=$C$2,1,IF(B8=$C$2+1,PRODUCT($D$5:D8),E7*D8))</f>
        <v>0.96502946581138105</v>
      </c>
      <c r="F8" s="10">
        <f t="shared" si="0"/>
        <v>0.85480419102972571</v>
      </c>
      <c r="G8" s="10">
        <f t="shared" si="5"/>
        <v>0.82491123184274595</v>
      </c>
      <c r="I8" s="13">
        <f t="shared" si="1"/>
        <v>4825.1473290569056</v>
      </c>
      <c r="J8" s="11">
        <f>(SUM(G9:$G$79)*$I$1)</f>
        <v>50554.932672742871</v>
      </c>
      <c r="K8" s="11">
        <f t="shared" si="6"/>
        <v>-4124.556159213731</v>
      </c>
      <c r="L8" s="14">
        <v>10</v>
      </c>
      <c r="M8" s="19" t="s">
        <v>46</v>
      </c>
      <c r="N8" s="17">
        <f>SUM(I12:I19)</f>
        <v>34410.013241203116</v>
      </c>
      <c r="O8" s="18">
        <f>N8/SUM($N$6:$N$9)</f>
        <v>0.31575017840747344</v>
      </c>
      <c r="Q8" s="65">
        <v>4</v>
      </c>
      <c r="R8" s="66">
        <f>Inputs!H11</f>
        <v>1.74E-4</v>
      </c>
    </row>
    <row r="9" spans="1:18" ht="15.75" thickBot="1" x14ac:dyDescent="0.3">
      <c r="A9">
        <f t="shared" si="2"/>
        <v>69</v>
      </c>
      <c r="B9">
        <v>5</v>
      </c>
      <c r="C9" s="12">
        <f t="shared" si="3"/>
        <v>1.0463E-2</v>
      </c>
      <c r="D9" s="10">
        <f t="shared" si="4"/>
        <v>0.989537</v>
      </c>
      <c r="E9" s="198">
        <f>IF(B9&lt;=$C$2,1,IF(B9=$C$2+1,PRODUCT($D$5:D9),E8*D9))</f>
        <v>0.95493236251059654</v>
      </c>
      <c r="F9" s="10">
        <f t="shared" si="0"/>
        <v>0.82192710675935154</v>
      </c>
      <c r="G9" s="10">
        <f t="shared" si="5"/>
        <v>0.78488479386920684</v>
      </c>
      <c r="I9" s="13">
        <f t="shared" si="1"/>
        <v>4774.6618125529831</v>
      </c>
      <c r="J9" s="11">
        <f>(SUM(G10:$G$79)*$I$1)</f>
        <v>46630.508703396838</v>
      </c>
      <c r="K9" s="11">
        <f t="shared" si="6"/>
        <v>-3924.4239693460331</v>
      </c>
      <c r="L9" s="14">
        <v>30</v>
      </c>
      <c r="M9" s="20" t="s">
        <v>48</v>
      </c>
      <c r="N9" s="21">
        <f>SUM(I20:I70)</f>
        <v>40837.531207042804</v>
      </c>
      <c r="O9" s="22">
        <f>N9/SUM($N$6:$N$9)</f>
        <v>0.37472981117323412</v>
      </c>
      <c r="Q9" s="65">
        <v>5</v>
      </c>
      <c r="R9" s="66">
        <f>Inputs!H12</f>
        <v>1.6799999999999999E-4</v>
      </c>
    </row>
    <row r="10" spans="1:18" x14ac:dyDescent="0.25">
      <c r="A10">
        <f t="shared" si="2"/>
        <v>70</v>
      </c>
      <c r="B10">
        <v>6</v>
      </c>
      <c r="C10" s="12">
        <f t="shared" si="3"/>
        <v>1.1357000000000001E-2</v>
      </c>
      <c r="D10" s="10">
        <f t="shared" si="4"/>
        <v>0.98864300000000005</v>
      </c>
      <c r="E10" s="198">
        <f>IF(B10&lt;=$C$2,1,IF(B10=$C$2+1,PRODUCT($D$5:D10),E9*D10))</f>
        <v>0.94408719566956378</v>
      </c>
      <c r="F10" s="10">
        <f t="shared" si="0"/>
        <v>0.79031452573014571</v>
      </c>
      <c r="G10" s="10">
        <f t="shared" si="5"/>
        <v>0.74612582429349461</v>
      </c>
      <c r="I10" s="13">
        <f t="shared" si="1"/>
        <v>4720.4359783478185</v>
      </c>
      <c r="J10" s="11">
        <f>(SUM(G11:$G$79)*$I$1)</f>
        <v>42899.879581929366</v>
      </c>
      <c r="K10" s="11">
        <f t="shared" si="6"/>
        <v>-3730.6291214674711</v>
      </c>
      <c r="L10" s="53">
        <f>+SUMPRODUCT(L6:L9,O6:O9)</f>
        <v>15.540980811895395</v>
      </c>
      <c r="O10" s="23">
        <f>SUM(O6:O9)</f>
        <v>1</v>
      </c>
      <c r="Q10" s="65">
        <v>6</v>
      </c>
      <c r="R10" s="66">
        <f>Inputs!H13</f>
        <v>1.65E-4</v>
      </c>
    </row>
    <row r="11" spans="1:18" x14ac:dyDescent="0.25">
      <c r="A11">
        <f t="shared" si="2"/>
        <v>71</v>
      </c>
      <c r="B11">
        <v>7</v>
      </c>
      <c r="C11" s="12">
        <f t="shared" si="3"/>
        <v>1.2418E-2</v>
      </c>
      <c r="D11" s="10">
        <f t="shared" si="4"/>
        <v>0.98758199999999996</v>
      </c>
      <c r="E11" s="198">
        <f>IF(B11&lt;=$C$2,1,IF(B11=$C$2+1,PRODUCT($D$5:D11),E10*D11))</f>
        <v>0.93236352087373908</v>
      </c>
      <c r="F11" s="10">
        <f t="shared" si="0"/>
        <v>0.75991781320206331</v>
      </c>
      <c r="G11" s="10">
        <f t="shared" si="5"/>
        <v>0.70851964789174815</v>
      </c>
      <c r="I11" s="13">
        <f t="shared" si="1"/>
        <v>4661.8176043686954</v>
      </c>
      <c r="J11" s="11">
        <f>(SUM(G12:$G$79)*$I$1)</f>
        <v>39357.281342470604</v>
      </c>
      <c r="K11" s="11">
        <f t="shared" si="6"/>
        <v>-3542.5982394587627</v>
      </c>
      <c r="Q11" s="65">
        <v>7</v>
      </c>
      <c r="R11" s="66">
        <f>Inputs!H14</f>
        <v>1.5899999999999999E-4</v>
      </c>
    </row>
    <row r="12" spans="1:18" x14ac:dyDescent="0.25">
      <c r="A12">
        <f t="shared" si="2"/>
        <v>72</v>
      </c>
      <c r="B12">
        <v>8</v>
      </c>
      <c r="C12" s="12">
        <f t="shared" si="3"/>
        <v>1.3675E-2</v>
      </c>
      <c r="D12" s="10">
        <f t="shared" si="4"/>
        <v>0.98632500000000001</v>
      </c>
      <c r="E12" s="198">
        <f>IF(B12&lt;=$C$2,1,IF(B12=$C$2+1,PRODUCT($D$5:D12),E11*D12))</f>
        <v>0.91961344972579073</v>
      </c>
      <c r="F12" s="10">
        <f t="shared" si="0"/>
        <v>0.73069020500198378</v>
      </c>
      <c r="G12" s="10">
        <f t="shared" si="5"/>
        <v>0.67195254010271954</v>
      </c>
      <c r="I12" s="13">
        <f t="shared" si="1"/>
        <v>4598.0672486289541</v>
      </c>
      <c r="J12" s="11">
        <f>(SUM(G13:$G$79)*$I$1)</f>
        <v>35997.518641957009</v>
      </c>
      <c r="K12" s="11">
        <f t="shared" si="6"/>
        <v>-3359.7627005135946</v>
      </c>
      <c r="Q12" s="65">
        <v>8</v>
      </c>
      <c r="R12" s="66">
        <f>Inputs!H15</f>
        <v>1.4300000000000001E-4</v>
      </c>
    </row>
    <row r="13" spans="1:18" x14ac:dyDescent="0.25">
      <c r="A13">
        <f t="shared" si="2"/>
        <v>73</v>
      </c>
      <c r="B13">
        <v>9</v>
      </c>
      <c r="C13" s="12">
        <f t="shared" si="3"/>
        <v>1.515E-2</v>
      </c>
      <c r="D13" s="10">
        <f t="shared" si="4"/>
        <v>0.98485</v>
      </c>
      <c r="E13" s="198">
        <f>IF(B13&lt;=$C$2,1,IF(B13=$C$2+1,PRODUCT($D$5:D13),E12*D13))</f>
        <v>0.905681305962445</v>
      </c>
      <c r="F13" s="10">
        <f t="shared" si="0"/>
        <v>0.70258673557883045</v>
      </c>
      <c r="G13" s="10">
        <f t="shared" si="5"/>
        <v>0.63631967223092623</v>
      </c>
      <c r="I13" s="13">
        <f t="shared" si="1"/>
        <v>4528.406529812225</v>
      </c>
      <c r="J13" s="11">
        <f>(SUM(G14:$G$79)*$I$1)</f>
        <v>32815.920280802377</v>
      </c>
      <c r="K13" s="11">
        <f t="shared" si="6"/>
        <v>-3181.5983611546326</v>
      </c>
      <c r="Q13" s="65">
        <v>9</v>
      </c>
      <c r="R13" s="66">
        <f>Inputs!H16</f>
        <v>1.2899999999999999E-4</v>
      </c>
    </row>
    <row r="14" spans="1:18" x14ac:dyDescent="0.25">
      <c r="A14">
        <f t="shared" si="2"/>
        <v>74</v>
      </c>
      <c r="B14">
        <v>10</v>
      </c>
      <c r="C14" s="12">
        <f t="shared" si="3"/>
        <v>1.686E-2</v>
      </c>
      <c r="D14" s="10">
        <f t="shared" si="4"/>
        <v>0.98314000000000001</v>
      </c>
      <c r="E14" s="198">
        <f>IF(B14&lt;=$C$2,1,IF(B14=$C$2+1,PRODUCT($D$5:D14),E13*D14))</f>
        <v>0.89041151914391814</v>
      </c>
      <c r="F14" s="10">
        <f t="shared" si="0"/>
        <v>0.67556416882579851</v>
      </c>
      <c r="G14" s="10">
        <f t="shared" si="5"/>
        <v>0.60153011784337762</v>
      </c>
      <c r="I14" s="13">
        <f t="shared" si="1"/>
        <v>4452.0575957195906</v>
      </c>
      <c r="J14" s="11">
        <f>(SUM(G15:$G$79)*$I$1)</f>
        <v>29808.269691585487</v>
      </c>
      <c r="K14" s="11">
        <f t="shared" si="6"/>
        <v>-3007.6505892168898</v>
      </c>
      <c r="Q14" s="65">
        <v>10</v>
      </c>
      <c r="R14" s="66">
        <f>Inputs!H17</f>
        <v>1.13E-4</v>
      </c>
    </row>
    <row r="15" spans="1:18" x14ac:dyDescent="0.25">
      <c r="A15">
        <f t="shared" si="2"/>
        <v>75</v>
      </c>
      <c r="B15">
        <v>11</v>
      </c>
      <c r="C15" s="12">
        <f t="shared" si="3"/>
        <v>1.8814999999999998E-2</v>
      </c>
      <c r="D15" s="10">
        <f t="shared" si="4"/>
        <v>0.98118499999999997</v>
      </c>
      <c r="E15" s="198">
        <f>IF(B15&lt;=$C$2,1,IF(B15=$C$2+1,PRODUCT($D$5:D15),E14*D15))</f>
        <v>0.87365842641122526</v>
      </c>
      <c r="F15" s="10">
        <f t="shared" si="0"/>
        <v>0.6495809315632679</v>
      </c>
      <c r="G15" s="10">
        <f t="shared" si="5"/>
        <v>0.56751185449630248</v>
      </c>
      <c r="I15" s="13">
        <f t="shared" si="1"/>
        <v>4368.2921320561263</v>
      </c>
      <c r="J15" s="11">
        <f>(SUM(G16:$G$79)*$I$1)</f>
        <v>26970.710419103976</v>
      </c>
      <c r="K15" s="11">
        <f t="shared" si="6"/>
        <v>-2837.5592724815106</v>
      </c>
      <c r="Q15" s="65">
        <v>11</v>
      </c>
      <c r="R15" s="66">
        <f>Inputs!H18</f>
        <v>1.11E-4</v>
      </c>
    </row>
    <row r="16" spans="1:18" x14ac:dyDescent="0.25">
      <c r="A16">
        <f t="shared" si="2"/>
        <v>76</v>
      </c>
      <c r="B16">
        <v>12</v>
      </c>
      <c r="C16" s="12">
        <f t="shared" si="3"/>
        <v>2.1031000000000001E-2</v>
      </c>
      <c r="D16" s="10">
        <f t="shared" si="4"/>
        <v>0.97896899999999998</v>
      </c>
      <c r="E16" s="198">
        <f>IF(B16&lt;=$C$2,1,IF(B16=$C$2+1,PRODUCT($D$5:D16),E15*D16))</f>
        <v>0.85528451604537081</v>
      </c>
      <c r="F16" s="10">
        <f t="shared" si="0"/>
        <v>0.62459704958006512</v>
      </c>
      <c r="G16" s="10">
        <f t="shared" si="5"/>
        <v>0.53420818527345248</v>
      </c>
      <c r="I16" s="13">
        <f t="shared" si="1"/>
        <v>4276.4225802268538</v>
      </c>
      <c r="J16" s="11">
        <f>(SUM(G17:$G$79)*$I$1)</f>
        <v>24299.669492736713</v>
      </c>
      <c r="K16" s="11">
        <f t="shared" si="6"/>
        <v>-2671.0409263672627</v>
      </c>
      <c r="Q16" s="65">
        <v>12</v>
      </c>
      <c r="R16" s="66">
        <f>Inputs!H19</f>
        <v>1.3200000000000001E-4</v>
      </c>
    </row>
    <row r="17" spans="1:18" x14ac:dyDescent="0.25">
      <c r="A17">
        <f t="shared" si="2"/>
        <v>77</v>
      </c>
      <c r="B17">
        <v>13</v>
      </c>
      <c r="C17" s="12">
        <f t="shared" si="3"/>
        <v>2.3539999999999998E-2</v>
      </c>
      <c r="D17" s="10">
        <f t="shared" si="4"/>
        <v>0.97645999999999999</v>
      </c>
      <c r="E17" s="198">
        <f>IF(B17&lt;=$C$2,1,IF(B17=$C$2+1,PRODUCT($D$5:D17),E16*D17))</f>
        <v>0.83515111853766277</v>
      </c>
      <c r="F17" s="10">
        <f t="shared" si="0"/>
        <v>0.600574086134678</v>
      </c>
      <c r="G17" s="10">
        <f t="shared" si="5"/>
        <v>0.5015701198001109</v>
      </c>
      <c r="I17" s="13">
        <f t="shared" si="1"/>
        <v>4175.7555926883142</v>
      </c>
      <c r="J17" s="11">
        <f>(SUM(G18:$G$79)*$I$1)</f>
        <v>21791.818893736167</v>
      </c>
      <c r="K17" s="11">
        <f t="shared" si="6"/>
        <v>-2507.8505990005469</v>
      </c>
      <c r="Q17" s="65">
        <v>13</v>
      </c>
      <c r="R17" s="66">
        <f>Inputs!H20</f>
        <v>1.6899999999999999E-4</v>
      </c>
    </row>
    <row r="18" spans="1:18" x14ac:dyDescent="0.25">
      <c r="A18">
        <f t="shared" si="2"/>
        <v>78</v>
      </c>
      <c r="B18">
        <v>14</v>
      </c>
      <c r="C18" s="12">
        <f t="shared" si="3"/>
        <v>2.6374999999999999E-2</v>
      </c>
      <c r="D18" s="10">
        <f t="shared" si="4"/>
        <v>0.97362499999999996</v>
      </c>
      <c r="E18" s="198">
        <f>IF(B18&lt;=$C$2,1,IF(B18=$C$2+1,PRODUCT($D$5:D18),E17*D18))</f>
        <v>0.81312400778623184</v>
      </c>
      <c r="F18" s="10">
        <f t="shared" si="0"/>
        <v>0.57747508282180582</v>
      </c>
      <c r="G18" s="10">
        <f t="shared" si="5"/>
        <v>0.4695588537407529</v>
      </c>
      <c r="I18" s="13">
        <f t="shared" si="1"/>
        <v>4065.6200389311593</v>
      </c>
      <c r="J18" s="11">
        <f>(SUM(G19:$G$79)*$I$1)</f>
        <v>19444.024625032394</v>
      </c>
      <c r="K18" s="11">
        <f t="shared" si="6"/>
        <v>-2347.7942687037721</v>
      </c>
      <c r="Q18" s="65">
        <v>14</v>
      </c>
      <c r="R18" s="66">
        <f>Inputs!H21</f>
        <v>2.13E-4</v>
      </c>
    </row>
    <row r="19" spans="1:18" x14ac:dyDescent="0.25">
      <c r="A19">
        <f t="shared" si="2"/>
        <v>79</v>
      </c>
      <c r="B19">
        <v>15</v>
      </c>
      <c r="C19" s="12">
        <f t="shared" si="3"/>
        <v>2.9572000000000001E-2</v>
      </c>
      <c r="D19" s="10">
        <f t="shared" si="4"/>
        <v>0.97042799999999996</v>
      </c>
      <c r="E19" s="198">
        <f>IF(B19&lt;=$C$2,1,IF(B19=$C$2+1,PRODUCT($D$5:D19),E18*D19))</f>
        <v>0.78907830462797734</v>
      </c>
      <c r="F19" s="10">
        <f t="shared" si="0"/>
        <v>0.55526450271327477</v>
      </c>
      <c r="G19" s="10">
        <f t="shared" si="5"/>
        <v>0.4381471724210878</v>
      </c>
      <c r="I19" s="13">
        <f t="shared" si="1"/>
        <v>3945.3915231398869</v>
      </c>
      <c r="J19" s="11">
        <f>(SUM(G20:$G$79)*$I$1)</f>
        <v>17253.288762926957</v>
      </c>
      <c r="K19" s="11">
        <f t="shared" si="6"/>
        <v>-2190.7358621054373</v>
      </c>
      <c r="Q19" s="65">
        <v>15</v>
      </c>
      <c r="R19" s="66">
        <f>Inputs!H22</f>
        <v>2.5399999999999999E-4</v>
      </c>
    </row>
    <row r="20" spans="1:18" x14ac:dyDescent="0.25">
      <c r="A20">
        <f t="shared" si="2"/>
        <v>80</v>
      </c>
      <c r="B20">
        <v>16</v>
      </c>
      <c r="C20" s="12">
        <f t="shared" si="3"/>
        <v>3.3234E-2</v>
      </c>
      <c r="D20" s="10">
        <f t="shared" si="4"/>
        <v>0.96676600000000001</v>
      </c>
      <c r="E20" s="198">
        <f>IF(B20&lt;=$C$2,1,IF(B20=$C$2+1,PRODUCT($D$5:D20),E19*D20))</f>
        <v>0.7628540762519711</v>
      </c>
      <c r="F20" s="10">
        <f t="shared" si="0"/>
        <v>0.53390817568584104</v>
      </c>
      <c r="G20" s="10">
        <f t="shared" si="5"/>
        <v>0.40729402816619736</v>
      </c>
      <c r="I20" s="13">
        <f t="shared" si="1"/>
        <v>3814.2703812598556</v>
      </c>
      <c r="J20" s="11">
        <f>(SUM(G21:$G$79)*$I$1)</f>
        <v>15216.818622095971</v>
      </c>
      <c r="K20" s="11">
        <f t="shared" si="6"/>
        <v>-2036.4701408309866</v>
      </c>
      <c r="Q20" s="65">
        <v>16</v>
      </c>
      <c r="R20" s="66">
        <f>Inputs!H23</f>
        <v>2.9300000000000002E-4</v>
      </c>
    </row>
    <row r="21" spans="1:18" x14ac:dyDescent="0.25">
      <c r="A21">
        <f t="shared" si="2"/>
        <v>81</v>
      </c>
      <c r="B21">
        <v>17</v>
      </c>
      <c r="C21" s="12">
        <f t="shared" si="3"/>
        <v>3.7532999999999997E-2</v>
      </c>
      <c r="D21" s="10">
        <f t="shared" si="4"/>
        <v>0.96246699999999996</v>
      </c>
      <c r="E21" s="198">
        <f>IF(B21&lt;=$C$2,1,IF(B21=$C$2+1,PRODUCT($D$5:D21),E20*D21))</f>
        <v>0.73422187420800589</v>
      </c>
      <c r="F21" s="10">
        <f t="shared" si="0"/>
        <v>0.51337324585177024</v>
      </c>
      <c r="G21" s="10">
        <f t="shared" si="5"/>
        <v>0.37692986673753415</v>
      </c>
      <c r="I21" s="13">
        <f t="shared" si="1"/>
        <v>3671.1093710400296</v>
      </c>
      <c r="J21" s="11">
        <f>(SUM(G22:$G$79)*$I$1)</f>
        <v>13332.1692884083</v>
      </c>
      <c r="K21" s="11">
        <f t="shared" si="6"/>
        <v>-1884.6493336876702</v>
      </c>
      <c r="Q21" s="65">
        <v>17</v>
      </c>
      <c r="R21" s="66">
        <f>Inputs!H24</f>
        <v>3.28E-4</v>
      </c>
    </row>
    <row r="22" spans="1:18" x14ac:dyDescent="0.25">
      <c r="A22">
        <f t="shared" si="2"/>
        <v>82</v>
      </c>
      <c r="B22">
        <v>18</v>
      </c>
      <c r="C22" s="12">
        <f t="shared" si="3"/>
        <v>4.2261E-2</v>
      </c>
      <c r="D22" s="10">
        <f t="shared" si="4"/>
        <v>0.95773900000000001</v>
      </c>
      <c r="E22" s="198">
        <f>IF(B22&lt;=$C$2,1,IF(B22=$C$2+1,PRODUCT($D$5:D22),E21*D22))</f>
        <v>0.70319292358210139</v>
      </c>
      <c r="F22" s="10">
        <f t="shared" si="0"/>
        <v>0.49362812101131748</v>
      </c>
      <c r="G22" s="10">
        <f t="shared" si="5"/>
        <v>0.34711580157628769</v>
      </c>
      <c r="I22" s="13">
        <f t="shared" si="1"/>
        <v>3515.9646179105071</v>
      </c>
      <c r="J22" s="11">
        <f>(SUM(G23:$G$79)*$I$1)</f>
        <v>11596.590280526862</v>
      </c>
      <c r="K22" s="11">
        <f t="shared" si="6"/>
        <v>-1735.5790078814389</v>
      </c>
      <c r="Q22" s="65">
        <v>18</v>
      </c>
      <c r="R22" s="66">
        <f>Inputs!H25</f>
        <v>3.59E-4</v>
      </c>
    </row>
    <row r="23" spans="1:18" x14ac:dyDescent="0.25">
      <c r="A23">
        <f t="shared" si="2"/>
        <v>83</v>
      </c>
      <c r="B23">
        <v>19</v>
      </c>
      <c r="C23" s="12">
        <f t="shared" si="3"/>
        <v>4.7440999999999997E-2</v>
      </c>
      <c r="D23" s="10">
        <f t="shared" si="4"/>
        <v>0.95255900000000004</v>
      </c>
      <c r="E23" s="198">
        <f>IF(B23&lt;=$C$2,1,IF(B23=$C$2+1,PRODUCT($D$5:D23),E22*D23))</f>
        <v>0.66983274809444293</v>
      </c>
      <c r="F23" s="10">
        <f t="shared" si="0"/>
        <v>0.47464242404934376</v>
      </c>
      <c r="G23" s="10">
        <f t="shared" si="5"/>
        <v>0.31793103926317984</v>
      </c>
      <c r="I23" s="13">
        <f t="shared" si="1"/>
        <v>3349.1637404722146</v>
      </c>
      <c r="J23" s="11">
        <f>(SUM(G24:$G$79)*$I$1)</f>
        <v>10006.93508421096</v>
      </c>
      <c r="K23" s="11">
        <f t="shared" si="6"/>
        <v>-1589.6551963159018</v>
      </c>
      <c r="Q23" s="65">
        <v>19</v>
      </c>
      <c r="R23" s="66">
        <f>Inputs!H26</f>
        <v>3.8699999999999997E-4</v>
      </c>
    </row>
    <row r="24" spans="1:18" x14ac:dyDescent="0.25">
      <c r="A24">
        <f t="shared" si="2"/>
        <v>84</v>
      </c>
      <c r="B24">
        <v>20</v>
      </c>
      <c r="C24" s="12">
        <f t="shared" si="3"/>
        <v>5.3233000000000003E-2</v>
      </c>
      <c r="D24" s="10">
        <f t="shared" si="4"/>
        <v>0.94676700000000003</v>
      </c>
      <c r="E24" s="198">
        <f>IF(B24&lt;=$C$2,1,IF(B24=$C$2+1,PRODUCT($D$5:D24),E23*D24))</f>
        <v>0.63417554141513144</v>
      </c>
      <c r="F24" s="10">
        <f t="shared" si="0"/>
        <v>0.45638694620129205</v>
      </c>
      <c r="G24" s="10">
        <f t="shared" si="5"/>
        <v>0.28942943870200283</v>
      </c>
      <c r="I24" s="13">
        <f t="shared" si="1"/>
        <v>3170.8777070756573</v>
      </c>
      <c r="J24" s="11">
        <f>(SUM(G25:$G$79)*$I$1)</f>
        <v>8559.7878907009472</v>
      </c>
      <c r="K24" s="11">
        <f t="shared" si="6"/>
        <v>-1447.1471935100126</v>
      </c>
      <c r="Q24" s="65">
        <v>20</v>
      </c>
      <c r="R24" s="66">
        <f>Inputs!H27</f>
        <v>4.1399999999999998E-4</v>
      </c>
    </row>
    <row r="25" spans="1:18" x14ac:dyDescent="0.25">
      <c r="A25">
        <f t="shared" si="2"/>
        <v>85</v>
      </c>
      <c r="B25">
        <v>21</v>
      </c>
      <c r="C25" s="12">
        <f t="shared" si="3"/>
        <v>5.9854999999999998E-2</v>
      </c>
      <c r="D25" s="10">
        <f t="shared" si="4"/>
        <v>0.94014500000000001</v>
      </c>
      <c r="E25" s="198">
        <f>IF(B25&lt;=$C$2,1,IF(B25=$C$2+1,PRODUCT($D$5:D25),E24*D25))</f>
        <v>0.59621696438372873</v>
      </c>
      <c r="F25" s="10">
        <f t="shared" si="0"/>
        <v>0.43883360211662686</v>
      </c>
      <c r="G25" s="10">
        <f t="shared" si="5"/>
        <v>0.2616400381235523</v>
      </c>
      <c r="I25" s="13">
        <f t="shared" si="1"/>
        <v>2981.0848219186437</v>
      </c>
      <c r="J25" s="11">
        <f>(SUM(G26:$G$79)*$I$1)</f>
        <v>7251.5877000831861</v>
      </c>
      <c r="K25" s="11">
        <f t="shared" si="6"/>
        <v>-1308.2001906177611</v>
      </c>
      <c r="Q25" s="65">
        <v>21</v>
      </c>
      <c r="R25" s="66">
        <f>Inputs!H28</f>
        <v>4.4299999999999998E-4</v>
      </c>
    </row>
    <row r="26" spans="1:18" x14ac:dyDescent="0.25">
      <c r="A26">
        <f t="shared" si="2"/>
        <v>86</v>
      </c>
      <c r="B26">
        <v>22</v>
      </c>
      <c r="C26" s="12">
        <f t="shared" si="3"/>
        <v>6.7514000000000005E-2</v>
      </c>
      <c r="D26" s="10">
        <f t="shared" si="4"/>
        <v>0.93248600000000004</v>
      </c>
      <c r="E26" s="198">
        <f>IF(B26&lt;=$C$2,1,IF(B26=$C$2+1,PRODUCT($D$5:D26),E25*D26))</f>
        <v>0.55596397225032568</v>
      </c>
      <c r="F26" s="10">
        <f t="shared" si="0"/>
        <v>0.42195538665060278</v>
      </c>
      <c r="G26" s="10">
        <f t="shared" si="5"/>
        <v>0.23459199287469118</v>
      </c>
      <c r="I26" s="13">
        <f t="shared" si="1"/>
        <v>2779.8198612516285</v>
      </c>
      <c r="J26" s="11">
        <f>(SUM(G27:$G$79)*$I$1)</f>
        <v>6078.6277357097297</v>
      </c>
      <c r="K26" s="11">
        <f t="shared" si="6"/>
        <v>-1172.9599643734564</v>
      </c>
      <c r="Q26" s="65">
        <v>22</v>
      </c>
      <c r="R26" s="66">
        <f>Inputs!H29</f>
        <v>4.73E-4</v>
      </c>
    </row>
    <row r="27" spans="1:18" x14ac:dyDescent="0.25">
      <c r="A27">
        <f t="shared" si="2"/>
        <v>87</v>
      </c>
      <c r="B27">
        <v>23</v>
      </c>
      <c r="C27" s="12">
        <f t="shared" si="3"/>
        <v>7.6340000000000005E-2</v>
      </c>
      <c r="D27" s="10">
        <f t="shared" si="4"/>
        <v>0.92366000000000004</v>
      </c>
      <c r="E27" s="198">
        <f>IF(B27&lt;=$C$2,1,IF(B27=$C$2+1,PRODUCT($D$5:D27),E26*D27))</f>
        <v>0.51352168260873587</v>
      </c>
      <c r="F27" s="10">
        <f t="shared" si="0"/>
        <v>0.40572633331788732</v>
      </c>
      <c r="G27" s="10">
        <f t="shared" si="5"/>
        <v>0.2083492693640743</v>
      </c>
      <c r="I27" s="13">
        <f t="shared" si="1"/>
        <v>2567.6084130436793</v>
      </c>
      <c r="J27" s="11">
        <f>(SUM(G28:$G$79)*$I$1)</f>
        <v>5036.8813888893592</v>
      </c>
      <c r="K27" s="11">
        <f t="shared" si="6"/>
        <v>-1041.7463468203705</v>
      </c>
      <c r="Q27" s="65">
        <v>23</v>
      </c>
      <c r="R27" s="66">
        <f>Inputs!H30</f>
        <v>5.13E-4</v>
      </c>
    </row>
    <row r="28" spans="1:18" x14ac:dyDescent="0.25">
      <c r="A28">
        <f t="shared" si="2"/>
        <v>88</v>
      </c>
      <c r="B28">
        <v>24</v>
      </c>
      <c r="C28" s="12">
        <f t="shared" si="3"/>
        <v>8.6388000000000006E-2</v>
      </c>
      <c r="D28" s="10">
        <f t="shared" si="4"/>
        <v>0.91361199999999998</v>
      </c>
      <c r="E28" s="198">
        <f>IF(B28&lt;=$C$2,1,IF(B28=$C$2+1,PRODUCT($D$5:D28),E27*D28))</f>
        <v>0.46915957149153237</v>
      </c>
      <c r="F28" s="10">
        <f t="shared" si="0"/>
        <v>0.39012147434412242</v>
      </c>
      <c r="G28" s="10">
        <f t="shared" si="5"/>
        <v>0.18302922373293332</v>
      </c>
      <c r="I28" s="13">
        <f t="shared" si="1"/>
        <v>2345.7978574576618</v>
      </c>
      <c r="J28" s="11">
        <f>(SUM(G29:$G$79)*$I$1)</f>
        <v>4121.7352702246953</v>
      </c>
      <c r="K28" s="11">
        <f t="shared" si="6"/>
        <v>-915.14611866466385</v>
      </c>
      <c r="Q28" s="65">
        <v>24</v>
      </c>
      <c r="R28" s="66">
        <f>Inputs!H31</f>
        <v>5.5400000000000002E-4</v>
      </c>
    </row>
    <row r="29" spans="1:18" x14ac:dyDescent="0.25">
      <c r="A29">
        <f t="shared" si="2"/>
        <v>89</v>
      </c>
      <c r="B29">
        <v>25</v>
      </c>
      <c r="C29" s="12">
        <f t="shared" si="3"/>
        <v>9.7633999999999999E-2</v>
      </c>
      <c r="D29" s="10">
        <f t="shared" si="4"/>
        <v>0.902366</v>
      </c>
      <c r="E29" s="198">
        <f>IF(B29&lt;=$C$2,1,IF(B29=$C$2+1,PRODUCT($D$5:D29),E28*D29))</f>
        <v>0.42335364588852809</v>
      </c>
      <c r="F29" s="10">
        <f t="shared" si="0"/>
        <v>0.37511680225396377</v>
      </c>
      <c r="G29" s="10">
        <f t="shared" si="5"/>
        <v>0.1588070658682616</v>
      </c>
      <c r="I29" s="13">
        <f t="shared" si="1"/>
        <v>2116.7682294426404</v>
      </c>
      <c r="J29" s="11">
        <f>(SUM(G30:$G$79)*$I$1)</f>
        <v>3327.6999408833867</v>
      </c>
      <c r="K29" s="11">
        <f t="shared" si="6"/>
        <v>-794.03532934130862</v>
      </c>
      <c r="Q29" s="65">
        <v>25</v>
      </c>
      <c r="R29" s="66">
        <f>Inputs!H32</f>
        <v>6.02E-4</v>
      </c>
    </row>
    <row r="30" spans="1:18" x14ac:dyDescent="0.25">
      <c r="A30">
        <f t="shared" si="2"/>
        <v>90</v>
      </c>
      <c r="B30">
        <v>26</v>
      </c>
      <c r="C30" s="12">
        <f t="shared" si="3"/>
        <v>0.10999299999999999</v>
      </c>
      <c r="D30" s="10">
        <f t="shared" si="4"/>
        <v>0.89000699999999999</v>
      </c>
      <c r="E30" s="198">
        <f>IF(B30&lt;=$C$2,1,IF(B30=$C$2+1,PRODUCT($D$5:D30),E29*D30))</f>
        <v>0.3767877083163112</v>
      </c>
      <c r="F30" s="10">
        <f t="shared" si="0"/>
        <v>0.36068923293650368</v>
      </c>
      <c r="G30" s="10">
        <f t="shared" si="5"/>
        <v>0.13590326949251338</v>
      </c>
      <c r="I30" s="13">
        <f t="shared" si="1"/>
        <v>1883.9385415815559</v>
      </c>
      <c r="J30" s="11">
        <f>(SUM(G31:$G$79)*$I$1)</f>
        <v>2648.1835934208202</v>
      </c>
      <c r="K30" s="11">
        <f t="shared" si="6"/>
        <v>-679.5163474625665</v>
      </c>
      <c r="Q30" s="65">
        <v>26</v>
      </c>
      <c r="R30" s="66">
        <f>Inputs!H33</f>
        <v>6.5499999999999998E-4</v>
      </c>
    </row>
    <row r="31" spans="1:18" x14ac:dyDescent="0.25">
      <c r="A31">
        <f t="shared" si="2"/>
        <v>91</v>
      </c>
      <c r="B31">
        <v>27</v>
      </c>
      <c r="C31" s="12">
        <f t="shared" si="3"/>
        <v>0.12311900000000001</v>
      </c>
      <c r="D31" s="10">
        <f t="shared" si="4"/>
        <v>0.87688100000000002</v>
      </c>
      <c r="E31" s="198">
        <f>IF(B31&lt;=$C$2,1,IF(B31=$C$2+1,PRODUCT($D$5:D31),E30*D31))</f>
        <v>0.33039798245611529</v>
      </c>
      <c r="F31" s="10">
        <f t="shared" si="0"/>
        <v>0.3468165701312535</v>
      </c>
      <c r="G31" s="10">
        <f t="shared" si="5"/>
        <v>0.11458749505371597</v>
      </c>
      <c r="I31" s="13">
        <f t="shared" si="1"/>
        <v>1651.9899122805764</v>
      </c>
      <c r="J31" s="11">
        <f>(SUM(G32:$G$79)*$I$1)</f>
        <v>2075.2461181522399</v>
      </c>
      <c r="K31" s="11">
        <f t="shared" si="6"/>
        <v>-572.93747526858033</v>
      </c>
      <c r="Q31" s="65">
        <v>27</v>
      </c>
      <c r="R31" s="66">
        <f>Inputs!H34</f>
        <v>6.8800000000000003E-4</v>
      </c>
    </row>
    <row r="32" spans="1:18" x14ac:dyDescent="0.25">
      <c r="A32">
        <f t="shared" si="2"/>
        <v>92</v>
      </c>
      <c r="B32">
        <v>28</v>
      </c>
      <c r="C32" s="12">
        <f t="shared" si="3"/>
        <v>0.13716800000000001</v>
      </c>
      <c r="D32" s="10">
        <f t="shared" si="4"/>
        <v>0.86283200000000004</v>
      </c>
      <c r="E32" s="198">
        <f>IF(B32&lt;=$C$2,1,IF(B32=$C$2+1,PRODUCT($D$5:D32),E31*D32))</f>
        <v>0.28507795199857489</v>
      </c>
      <c r="F32" s="10">
        <f t="shared" si="0"/>
        <v>0.3334774712800514</v>
      </c>
      <c r="G32" s="10">
        <f t="shared" si="5"/>
        <v>9.5067074550180625E-2</v>
      </c>
      <c r="I32" s="13">
        <f t="shared" si="1"/>
        <v>1425.3897599928744</v>
      </c>
      <c r="J32" s="11">
        <f>(SUM(G33:$G$79)*$I$1)</f>
        <v>1599.9107454013367</v>
      </c>
      <c r="K32" s="11">
        <f t="shared" si="6"/>
        <v>-475.33537275090316</v>
      </c>
      <c r="Q32" s="65">
        <v>28</v>
      </c>
      <c r="R32" s="66">
        <f>Inputs!H35</f>
        <v>7.1000000000000002E-4</v>
      </c>
    </row>
    <row r="33" spans="1:18" x14ac:dyDescent="0.25">
      <c r="A33">
        <f t="shared" si="2"/>
        <v>93</v>
      </c>
      <c r="B33">
        <v>29</v>
      </c>
      <c r="C33" s="12">
        <f t="shared" si="3"/>
        <v>0.152171</v>
      </c>
      <c r="D33" s="10">
        <f t="shared" si="4"/>
        <v>0.84782899999999994</v>
      </c>
      <c r="E33" s="198">
        <f>IF(B33&lt;=$C$2,1,IF(B33=$C$2+1,PRODUCT($D$5:D33),E32*D33))</f>
        <v>0.24169735496499972</v>
      </c>
      <c r="F33" s="10">
        <f t="shared" si="0"/>
        <v>0.32065141469235708</v>
      </c>
      <c r="G33" s="10">
        <f t="shared" si="5"/>
        <v>7.7500598796927958E-2</v>
      </c>
      <c r="I33" s="13">
        <f t="shared" si="1"/>
        <v>1208.4867748249985</v>
      </c>
      <c r="J33" s="11">
        <f>(SUM(G34:$G$79)*$I$1)</f>
        <v>1212.4077514166963</v>
      </c>
      <c r="K33" s="11">
        <f t="shared" si="6"/>
        <v>-387.5029939846404</v>
      </c>
      <c r="Q33" s="65">
        <v>29</v>
      </c>
      <c r="R33" s="66">
        <f>Inputs!H36</f>
        <v>7.27E-4</v>
      </c>
    </row>
    <row r="34" spans="1:18" x14ac:dyDescent="0.25">
      <c r="A34">
        <f t="shared" si="2"/>
        <v>94</v>
      </c>
      <c r="B34">
        <v>30</v>
      </c>
      <c r="C34" s="12">
        <f t="shared" si="3"/>
        <v>0.16819400000000001</v>
      </c>
      <c r="D34" s="10">
        <f t="shared" si="4"/>
        <v>0.83180600000000005</v>
      </c>
      <c r="E34" s="198">
        <f>IF(B34&lt;=$C$2,1,IF(B34=$C$2+1,PRODUCT($D$5:D34),E33*D34))</f>
        <v>0.20104531004401657</v>
      </c>
      <c r="F34" s="10">
        <f t="shared" si="0"/>
        <v>0.30831866797342034</v>
      </c>
      <c r="G34" s="10">
        <f t="shared" si="5"/>
        <v>6.1986022195074493E-2</v>
      </c>
      <c r="I34" s="13">
        <f t="shared" si="1"/>
        <v>1005.2265502200829</v>
      </c>
      <c r="J34" s="11">
        <f>(SUM(G35:$G$79)*$I$1)</f>
        <v>902.47764044132396</v>
      </c>
      <c r="K34" s="11">
        <f t="shared" si="6"/>
        <v>-309.93011097537237</v>
      </c>
      <c r="Q34" s="65">
        <v>30</v>
      </c>
      <c r="R34" s="66">
        <f>Inputs!H37</f>
        <v>7.4100000000000001E-4</v>
      </c>
    </row>
    <row r="35" spans="1:18" x14ac:dyDescent="0.25">
      <c r="A35">
        <f t="shared" si="2"/>
        <v>95</v>
      </c>
      <c r="B35">
        <v>31</v>
      </c>
      <c r="C35" s="12">
        <f t="shared" si="3"/>
        <v>0.18526000000000001</v>
      </c>
      <c r="D35" s="10">
        <f t="shared" si="4"/>
        <v>0.81474000000000002</v>
      </c>
      <c r="E35" s="198">
        <f>IF(B35&lt;=$C$2,1,IF(B35=$C$2+1,PRODUCT($D$5:D35),E34*D35))</f>
        <v>0.16379965590526208</v>
      </c>
      <c r="F35" s="10">
        <f t="shared" si="0"/>
        <v>0.29646025766675027</v>
      </c>
      <c r="G35" s="10">
        <f t="shared" si="5"/>
        <v>4.8560088195399025E-2</v>
      </c>
      <c r="I35" s="13">
        <f t="shared" si="1"/>
        <v>818.9982795263104</v>
      </c>
      <c r="J35" s="11">
        <f>(SUM(G36:$G$79)*$I$1)</f>
        <v>659.67719946432874</v>
      </c>
      <c r="K35" s="11">
        <f t="shared" si="6"/>
        <v>-242.80044097699522</v>
      </c>
      <c r="Q35" s="65">
        <v>31</v>
      </c>
      <c r="R35" s="66">
        <f>Inputs!H38</f>
        <v>7.5100000000000004E-4</v>
      </c>
    </row>
    <row r="36" spans="1:18" x14ac:dyDescent="0.25">
      <c r="A36">
        <f t="shared" si="2"/>
        <v>96</v>
      </c>
      <c r="B36">
        <v>32</v>
      </c>
      <c r="C36" s="12">
        <f t="shared" si="3"/>
        <v>0.197322</v>
      </c>
      <c r="D36" s="10">
        <f t="shared" si="4"/>
        <v>0.802678</v>
      </c>
      <c r="E36" s="198">
        <f>IF(B36&lt;=$C$2,1,IF(B36=$C$2+1,PRODUCT($D$5:D36),E35*D36))</f>
        <v>0.13147838020272395</v>
      </c>
      <c r="F36" s="10">
        <f t="shared" si="0"/>
        <v>0.28505794006418295</v>
      </c>
      <c r="G36" s="10">
        <f t="shared" si="5"/>
        <v>3.7478956223563946E-2</v>
      </c>
      <c r="I36" s="13">
        <f t="shared" si="1"/>
        <v>657.39190101361976</v>
      </c>
      <c r="J36" s="11">
        <f>(SUM(G37:$G$79)*$I$1)</f>
        <v>472.28241834650879</v>
      </c>
      <c r="K36" s="11">
        <f t="shared" si="6"/>
        <v>-187.39478111781995</v>
      </c>
      <c r="Q36" s="65">
        <v>32</v>
      </c>
      <c r="R36" s="66">
        <f>Inputs!H39</f>
        <v>7.54E-4</v>
      </c>
    </row>
    <row r="37" spans="1:18" x14ac:dyDescent="0.25">
      <c r="A37">
        <f t="shared" si="2"/>
        <v>97</v>
      </c>
      <c r="B37">
        <v>33</v>
      </c>
      <c r="C37" s="12">
        <f t="shared" si="3"/>
        <v>0.214751</v>
      </c>
      <c r="D37" s="10">
        <f t="shared" si="4"/>
        <v>0.78524899999999997</v>
      </c>
      <c r="E37" s="198">
        <f>IF(B37&lt;=$C$2,1,IF(B37=$C$2+1,PRODUCT($D$5:D37),E36*D37))</f>
        <v>0.10324326657580878</v>
      </c>
      <c r="F37" s="10">
        <f t="shared" si="0"/>
        <v>0.27409417313863743</v>
      </c>
      <c r="G37" s="10">
        <f t="shared" si="5"/>
        <v>2.8298377784228231E-2</v>
      </c>
      <c r="I37" s="13">
        <f t="shared" si="1"/>
        <v>516.21633287904388</v>
      </c>
      <c r="J37" s="11">
        <f>(SUM(G38:$G$79)*$I$1)</f>
        <v>330.79052942536771</v>
      </c>
      <c r="K37" s="11">
        <f t="shared" si="6"/>
        <v>-141.49188892114108</v>
      </c>
      <c r="Q37" s="65">
        <v>33</v>
      </c>
      <c r="R37" s="66">
        <f>Inputs!H40</f>
        <v>7.5600000000000005E-4</v>
      </c>
    </row>
    <row r="38" spans="1:18" x14ac:dyDescent="0.25">
      <c r="A38">
        <f t="shared" si="2"/>
        <v>98</v>
      </c>
      <c r="B38">
        <v>34</v>
      </c>
      <c r="C38" s="12">
        <f t="shared" si="3"/>
        <v>0.23250699999999999</v>
      </c>
      <c r="D38" s="10">
        <f t="shared" si="4"/>
        <v>0.76749299999999998</v>
      </c>
      <c r="E38" s="198">
        <f>IF(B38&lt;=$C$2,1,IF(B38=$C$2+1,PRODUCT($D$5:D38),E37*D38))</f>
        <v>7.9238484394067207E-2</v>
      </c>
      <c r="F38" s="10">
        <f t="shared" si="0"/>
        <v>0.26355208955638215</v>
      </c>
      <c r="G38" s="10">
        <f t="shared" si="5"/>
        <v>2.0883468135337192E-2</v>
      </c>
      <c r="I38" s="13">
        <f t="shared" si="1"/>
        <v>396.19242197033606</v>
      </c>
      <c r="J38" s="11">
        <f>(SUM(G39:$G$79)*$I$1)</f>
        <v>226.37318874868191</v>
      </c>
      <c r="K38" s="11">
        <f t="shared" si="6"/>
        <v>-104.4173406766858</v>
      </c>
      <c r="Q38" s="65">
        <v>34</v>
      </c>
      <c r="R38" s="66">
        <f>Inputs!H41</f>
        <v>7.5600000000000005E-4</v>
      </c>
    </row>
    <row r="39" spans="1:18" x14ac:dyDescent="0.25">
      <c r="A39">
        <f t="shared" si="2"/>
        <v>99</v>
      </c>
      <c r="B39">
        <v>35</v>
      </c>
      <c r="C39" s="12">
        <f t="shared" si="3"/>
        <v>0.25039699999999998</v>
      </c>
      <c r="D39" s="10">
        <f t="shared" si="4"/>
        <v>0.74960300000000002</v>
      </c>
      <c r="E39" s="198">
        <f>IF(B39&lt;=$C$2,1,IF(B39=$C$2+1,PRODUCT($D$5:D39),E38*D39))</f>
        <v>5.9397405617245963E-2</v>
      </c>
      <c r="F39" s="10">
        <f t="shared" si="0"/>
        <v>0.25341547072729048</v>
      </c>
      <c r="G39" s="10">
        <f t="shared" si="5"/>
        <v>1.5052221504474194E-2</v>
      </c>
      <c r="I39" s="13">
        <f t="shared" si="1"/>
        <v>296.98702808622983</v>
      </c>
      <c r="J39" s="11">
        <f>(SUM(G40:$G$79)*$I$1)</f>
        <v>151.11208122631095</v>
      </c>
      <c r="K39" s="11">
        <f t="shared" si="6"/>
        <v>-75.261107522370963</v>
      </c>
      <c r="Q39" s="65">
        <v>35</v>
      </c>
      <c r="R39" s="66">
        <f>Inputs!H42</f>
        <v>7.5600000000000005E-4</v>
      </c>
    </row>
    <row r="40" spans="1:18" x14ac:dyDescent="0.25">
      <c r="A40">
        <f t="shared" si="2"/>
        <v>100</v>
      </c>
      <c r="B40">
        <v>36</v>
      </c>
      <c r="C40" s="12">
        <f t="shared" si="3"/>
        <v>0.26860699999999998</v>
      </c>
      <c r="D40" s="10">
        <f t="shared" si="4"/>
        <v>0.73139299999999996</v>
      </c>
      <c r="E40" s="198">
        <f>IF(B40&lt;=$C$2,1,IF(B40=$C$2+1,PRODUCT($D$5:D40),E39*D40))</f>
        <v>4.3442846686614377E-2</v>
      </c>
      <c r="F40" s="10">
        <f t="shared" si="0"/>
        <v>0.24366872185316396</v>
      </c>
      <c r="G40" s="10">
        <f t="shared" si="5"/>
        <v>1.0585662925790284E-2</v>
      </c>
      <c r="I40" s="13">
        <f t="shared" si="1"/>
        <v>217.21423343307188</v>
      </c>
      <c r="J40" s="11">
        <f>(SUM(G41:$G$79)*$I$1)</f>
        <v>98.183766597359522</v>
      </c>
      <c r="K40" s="11">
        <f t="shared" si="6"/>
        <v>-52.928314628951426</v>
      </c>
      <c r="Q40" s="65">
        <v>36</v>
      </c>
      <c r="R40" s="66">
        <f>Inputs!H43</f>
        <v>7.5600000000000005E-4</v>
      </c>
    </row>
    <row r="41" spans="1:18" x14ac:dyDescent="0.25">
      <c r="A41">
        <f t="shared" si="2"/>
        <v>101</v>
      </c>
      <c r="B41">
        <v>37</v>
      </c>
      <c r="C41" s="12">
        <f t="shared" si="3"/>
        <v>0.290016</v>
      </c>
      <c r="D41" s="10">
        <f t="shared" si="4"/>
        <v>0.70998399999999995</v>
      </c>
      <c r="E41" s="198">
        <f>IF(B41&lt;=$C$2,1,IF(B41=$C$2+1,PRODUCT($D$5:D41),E40*D41))</f>
        <v>3.0843726061949218E-2</v>
      </c>
      <c r="F41" s="10">
        <f t="shared" si="0"/>
        <v>0.23429684793573452</v>
      </c>
      <c r="G41" s="10">
        <f t="shared" si="5"/>
        <v>7.226587794907968E-3</v>
      </c>
      <c r="I41" s="13">
        <f t="shared" si="1"/>
        <v>154.21863030974609</v>
      </c>
      <c r="J41" s="11">
        <f>(SUM(G42:$G$79)*$I$1)</f>
        <v>62.050827622819654</v>
      </c>
      <c r="K41" s="11">
        <f t="shared" si="6"/>
        <v>-36.132938974539869</v>
      </c>
      <c r="Q41" s="65">
        <v>37</v>
      </c>
      <c r="R41" s="66">
        <f>Inputs!H44</f>
        <v>7.5600000000000005E-4</v>
      </c>
    </row>
    <row r="42" spans="1:18" x14ac:dyDescent="0.25">
      <c r="A42">
        <f t="shared" si="2"/>
        <v>102</v>
      </c>
      <c r="B42">
        <v>38</v>
      </c>
      <c r="C42" s="12">
        <f t="shared" si="3"/>
        <v>0.31184899999999999</v>
      </c>
      <c r="D42" s="10">
        <f t="shared" si="4"/>
        <v>0.68815099999999996</v>
      </c>
      <c r="E42" s="198">
        <f>IF(B42&lt;=$C$2,1,IF(B42=$C$2+1,PRODUCT($D$5:D42),E41*D42))</f>
        <v>2.1225140933256417E-2</v>
      </c>
      <c r="F42" s="10">
        <f t="shared" si="0"/>
        <v>0.22528543070743706</v>
      </c>
      <c r="G42" s="10">
        <f t="shared" si="5"/>
        <v>4.7817150169747243E-3</v>
      </c>
      <c r="I42" s="13">
        <f t="shared" si="1"/>
        <v>106.12570466628209</v>
      </c>
      <c r="J42" s="11">
        <f>(SUM(G43:$G$79)*$I$1)</f>
        <v>38.142252537946042</v>
      </c>
      <c r="K42" s="11">
        <f t="shared" si="6"/>
        <v>-23.908575084873611</v>
      </c>
      <c r="Q42" s="65">
        <v>38</v>
      </c>
      <c r="R42" s="66">
        <f>Inputs!H45</f>
        <v>7.5600000000000005E-4</v>
      </c>
    </row>
    <row r="43" spans="1:18" x14ac:dyDescent="0.25">
      <c r="A43">
        <f t="shared" si="2"/>
        <v>103</v>
      </c>
      <c r="B43">
        <v>39</v>
      </c>
      <c r="C43" s="12">
        <f t="shared" si="3"/>
        <v>0.33396199999999998</v>
      </c>
      <c r="D43" s="10">
        <f t="shared" si="4"/>
        <v>0.66603800000000002</v>
      </c>
      <c r="E43" s="198">
        <f>IF(B43&lt;=$C$2,1,IF(B43=$C$2+1,PRODUCT($D$5:D43),E42*D43))</f>
        <v>1.4136750416904237E-2</v>
      </c>
      <c r="F43" s="10">
        <f t="shared" si="0"/>
        <v>0.21662060644945874</v>
      </c>
      <c r="G43" s="10">
        <f t="shared" si="5"/>
        <v>3.0623114485344343E-3</v>
      </c>
      <c r="I43" s="13">
        <f t="shared" si="1"/>
        <v>70.683752084521188</v>
      </c>
      <c r="J43" s="11">
        <f>(SUM(G44:$G$79)*$I$1)</f>
        <v>22.830695295273866</v>
      </c>
      <c r="K43" s="11">
        <f t="shared" si="6"/>
        <v>-15.311557242672176</v>
      </c>
      <c r="Q43" s="65">
        <v>39</v>
      </c>
      <c r="R43" s="66">
        <f>Inputs!H46</f>
        <v>8.0000000000000004E-4</v>
      </c>
    </row>
    <row r="44" spans="1:18" x14ac:dyDescent="0.25">
      <c r="A44">
        <f t="shared" si="2"/>
        <v>104</v>
      </c>
      <c r="B44">
        <v>40</v>
      </c>
      <c r="C44" s="12">
        <f t="shared" si="3"/>
        <v>0.356207</v>
      </c>
      <c r="D44" s="10">
        <f t="shared" si="4"/>
        <v>0.64379300000000006</v>
      </c>
      <c r="E44" s="198">
        <f>IF(B44&lt;=$C$2,1,IF(B44=$C$2+1,PRODUCT($D$5:D44),E43*D44))</f>
        <v>9.10114096115003E-3</v>
      </c>
      <c r="F44" s="10">
        <f t="shared" si="0"/>
        <v>0.20828904466294101</v>
      </c>
      <c r="G44" s="10">
        <f t="shared" si="5"/>
        <v>1.8956679561407004E-3</v>
      </c>
      <c r="I44" s="13">
        <f t="shared" si="1"/>
        <v>45.505704805750149</v>
      </c>
      <c r="J44" s="11">
        <f>(SUM(G45:$G$79)*$I$1)</f>
        <v>13.352355514570364</v>
      </c>
      <c r="K44" s="11">
        <f t="shared" si="6"/>
        <v>-9.4783397807035019</v>
      </c>
      <c r="Q44" s="65">
        <v>40</v>
      </c>
      <c r="R44" s="66">
        <f>Inputs!H47</f>
        <v>8.5899999999999995E-4</v>
      </c>
    </row>
    <row r="45" spans="1:18" x14ac:dyDescent="0.25">
      <c r="A45">
        <f t="shared" si="2"/>
        <v>105</v>
      </c>
      <c r="B45">
        <v>41</v>
      </c>
      <c r="C45" s="12">
        <f t="shared" si="3"/>
        <v>0.38</v>
      </c>
      <c r="D45" s="10">
        <f t="shared" si="4"/>
        <v>0.62</v>
      </c>
      <c r="E45" s="198">
        <f>IF(B45&lt;=$C$2,1,IF(B45=$C$2+1,PRODUCT($D$5:D45),E44*D45))</f>
        <v>5.6427073959130188E-3</v>
      </c>
      <c r="F45" s="10">
        <f t="shared" si="0"/>
        <v>0.20027792756052021</v>
      </c>
      <c r="G45" s="10">
        <f t="shared" si="5"/>
        <v>1.1301097430838792E-3</v>
      </c>
      <c r="I45" s="13">
        <f t="shared" si="1"/>
        <v>28.213536979565095</v>
      </c>
      <c r="J45" s="11">
        <f>(SUM(G46:$G$79)*$I$1)</f>
        <v>7.7018067991509671</v>
      </c>
      <c r="K45" s="11">
        <f t="shared" si="6"/>
        <v>-5.6505487154193972</v>
      </c>
      <c r="Q45" s="65">
        <v>41</v>
      </c>
      <c r="R45" s="66">
        <f>Inputs!H48</f>
        <v>9.2599999999999996E-4</v>
      </c>
    </row>
    <row r="46" spans="1:18" x14ac:dyDescent="0.25">
      <c r="A46">
        <f t="shared" si="2"/>
        <v>106</v>
      </c>
      <c r="B46">
        <v>42</v>
      </c>
      <c r="C46" s="12">
        <f t="shared" si="3"/>
        <v>0.4</v>
      </c>
      <c r="D46" s="10">
        <f t="shared" si="4"/>
        <v>0.6</v>
      </c>
      <c r="E46" s="198">
        <f>IF(B46&lt;=$C$2,1,IF(B46=$C$2+1,PRODUCT($D$5:D46),E45*D46))</f>
        <v>3.3856244375478112E-3</v>
      </c>
      <c r="F46" s="10">
        <f t="shared" si="0"/>
        <v>0.19257493034665407</v>
      </c>
      <c r="G46" s="10">
        <f t="shared" si="5"/>
        <v>6.5198639024069958E-4</v>
      </c>
      <c r="I46" s="13">
        <f t="shared" si="1"/>
        <v>16.928122187739056</v>
      </c>
      <c r="J46" s="11">
        <f>(SUM(G47:$G$79)*$I$1)</f>
        <v>4.4418748479474699</v>
      </c>
      <c r="K46" s="11">
        <f t="shared" si="6"/>
        <v>-3.2599319512034972</v>
      </c>
      <c r="Q46" s="65">
        <v>42</v>
      </c>
      <c r="R46" s="66">
        <f>Inputs!H49</f>
        <v>9.990000000000001E-4</v>
      </c>
    </row>
    <row r="47" spans="1:18" x14ac:dyDescent="0.25">
      <c r="A47">
        <f t="shared" si="2"/>
        <v>107</v>
      </c>
      <c r="B47">
        <v>43</v>
      </c>
      <c r="C47" s="12">
        <f t="shared" si="3"/>
        <v>0.4</v>
      </c>
      <c r="D47" s="10">
        <f t="shared" si="4"/>
        <v>0.6</v>
      </c>
      <c r="E47" s="198">
        <f>IF(B47&lt;=$C$2,1,IF(B47=$C$2+1,PRODUCT($D$5:D47),E46*D47))</f>
        <v>2.0313746625286867E-3</v>
      </c>
      <c r="F47" s="10">
        <f t="shared" si="0"/>
        <v>0.18516820225639813</v>
      </c>
      <c r="G47" s="10">
        <f t="shared" si="5"/>
        <v>3.7614599436963436E-4</v>
      </c>
      <c r="I47" s="13">
        <f t="shared" si="1"/>
        <v>10.156873312643434</v>
      </c>
      <c r="J47" s="11">
        <f>(SUM(G48:$G$79)*$I$1)</f>
        <v>2.5611448760992981</v>
      </c>
      <c r="K47" s="11">
        <f t="shared" si="6"/>
        <v>-1.8807299718481718</v>
      </c>
      <c r="Q47" s="65">
        <v>43</v>
      </c>
      <c r="R47" s="66">
        <f>Inputs!H50</f>
        <v>1.0690000000000001E-3</v>
      </c>
    </row>
    <row r="48" spans="1:18" x14ac:dyDescent="0.25">
      <c r="A48">
        <f t="shared" si="2"/>
        <v>108</v>
      </c>
      <c r="B48">
        <v>44</v>
      </c>
      <c r="C48" s="12">
        <f t="shared" si="3"/>
        <v>0.4</v>
      </c>
      <c r="D48" s="10">
        <f t="shared" si="4"/>
        <v>0.6</v>
      </c>
      <c r="E48" s="198">
        <f>IF(B48&lt;=$C$2,1,IF(B48=$C$2+1,PRODUCT($D$5:D48),E47*D48))</f>
        <v>1.2188247975172121E-3</v>
      </c>
      <c r="F48" s="10">
        <f t="shared" si="0"/>
        <v>0.17804634832345972</v>
      </c>
      <c r="G48" s="10">
        <f t="shared" si="5"/>
        <v>2.1700730444401982E-4</v>
      </c>
      <c r="I48" s="13">
        <f t="shared" si="1"/>
        <v>6.0941239875860607</v>
      </c>
      <c r="J48" s="11">
        <f>(SUM(G49:$G$79)*$I$1)</f>
        <v>1.4761083538791986</v>
      </c>
      <c r="K48" s="11">
        <f t="shared" si="6"/>
        <v>-1.0850365222200995</v>
      </c>
      <c r="Q48" s="65">
        <v>44</v>
      </c>
      <c r="R48" s="66">
        <f>Inputs!H51</f>
        <v>1.142E-3</v>
      </c>
    </row>
    <row r="49" spans="1:18" x14ac:dyDescent="0.25">
      <c r="A49">
        <f t="shared" si="2"/>
        <v>109</v>
      </c>
      <c r="B49">
        <v>45</v>
      </c>
      <c r="C49" s="12">
        <f t="shared" si="3"/>
        <v>0.4</v>
      </c>
      <c r="D49" s="10">
        <f t="shared" si="4"/>
        <v>0.6</v>
      </c>
      <c r="E49" s="198">
        <f>IF(B49&lt;=$C$2,1,IF(B49=$C$2+1,PRODUCT($D$5:D49),E48*D49))</f>
        <v>7.3129487851032726E-4</v>
      </c>
      <c r="F49" s="10">
        <f t="shared" si="0"/>
        <v>0.17119841184948048</v>
      </c>
      <c r="G49" s="10">
        <f t="shared" si="5"/>
        <v>1.2519652179462679E-4</v>
      </c>
      <c r="I49" s="13">
        <f t="shared" si="1"/>
        <v>3.6564743925516363</v>
      </c>
      <c r="J49" s="11">
        <f>(SUM(G50:$G$79)*$I$1)</f>
        <v>0.85012574490606485</v>
      </c>
      <c r="K49" s="11">
        <f t="shared" si="6"/>
        <v>-0.62598260897313374</v>
      </c>
      <c r="Q49" s="65">
        <v>45</v>
      </c>
      <c r="R49" s="66">
        <f>Inputs!H52</f>
        <v>1.219E-3</v>
      </c>
    </row>
    <row r="50" spans="1:18" x14ac:dyDescent="0.25">
      <c r="A50">
        <f t="shared" si="2"/>
        <v>110</v>
      </c>
      <c r="B50">
        <v>46</v>
      </c>
      <c r="C50" s="12">
        <f t="shared" si="3"/>
        <v>0.4</v>
      </c>
      <c r="D50" s="10">
        <f t="shared" si="4"/>
        <v>0.6</v>
      </c>
      <c r="E50" s="198">
        <f>IF(B50&lt;=$C$2,1,IF(B50=$C$2+1,PRODUCT($D$5:D50),E49*D50))</f>
        <v>4.3877692710619633E-4</v>
      </c>
      <c r="F50" s="10">
        <f t="shared" si="0"/>
        <v>0.1646138575475774</v>
      </c>
      <c r="G50" s="10">
        <f t="shared" si="5"/>
        <v>7.2228762573823153E-5</v>
      </c>
      <c r="I50" s="13">
        <f t="shared" si="1"/>
        <v>2.1938846355309818</v>
      </c>
      <c r="J50" s="11">
        <f>(SUM(G51:$G$79)*$I$1)</f>
        <v>0.48898193203694912</v>
      </c>
      <c r="K50" s="11">
        <f t="shared" si="6"/>
        <v>-0.36114381286911573</v>
      </c>
      <c r="Q50" s="65">
        <v>46</v>
      </c>
      <c r="R50" s="66">
        <f>Inputs!H53</f>
        <v>1.3179999999999999E-3</v>
      </c>
    </row>
    <row r="51" spans="1:18" x14ac:dyDescent="0.25">
      <c r="A51">
        <f t="shared" si="2"/>
        <v>111</v>
      </c>
      <c r="B51">
        <v>47</v>
      </c>
      <c r="C51" s="12">
        <f t="shared" si="3"/>
        <v>0.4</v>
      </c>
      <c r="D51" s="10">
        <f t="shared" si="4"/>
        <v>0.6</v>
      </c>
      <c r="E51" s="198">
        <f>IF(B51&lt;=$C$2,1,IF(B51=$C$2+1,PRODUCT($D$5:D51),E50*D51))</f>
        <v>2.632661562637178E-4</v>
      </c>
      <c r="F51" s="10">
        <f t="shared" si="0"/>
        <v>0.15828255533420904</v>
      </c>
      <c r="G51" s="10">
        <f t="shared" si="5"/>
        <v>4.1670439946436438E-5</v>
      </c>
      <c r="I51" s="13">
        <f t="shared" si="1"/>
        <v>1.3163307813185889</v>
      </c>
      <c r="J51" s="11">
        <f>(SUM(G52:$G$79)*$I$1)</f>
        <v>0.2806297323047669</v>
      </c>
      <c r="K51" s="11">
        <f t="shared" si="6"/>
        <v>-0.20835219973218222</v>
      </c>
      <c r="Q51" s="65">
        <v>47</v>
      </c>
      <c r="R51" s="66">
        <f>Inputs!H54</f>
        <v>1.454E-3</v>
      </c>
    </row>
    <row r="52" spans="1:18" x14ac:dyDescent="0.25">
      <c r="A52">
        <f t="shared" si="2"/>
        <v>112</v>
      </c>
      <c r="B52">
        <v>48</v>
      </c>
      <c r="C52" s="12">
        <f t="shared" si="3"/>
        <v>0.4</v>
      </c>
      <c r="D52" s="10">
        <f t="shared" si="4"/>
        <v>0.6</v>
      </c>
      <c r="E52" s="198">
        <f>IF(B52&lt;=$C$2,1,IF(B52=$C$2+1,PRODUCT($D$5:D52),E51*D52))</f>
        <v>1.5795969375823068E-4</v>
      </c>
      <c r="F52" s="10">
        <f t="shared" si="0"/>
        <v>0.15219476474443175</v>
      </c>
      <c r="G52" s="10">
        <f t="shared" si="5"/>
        <v>2.4040638430636404E-5</v>
      </c>
      <c r="I52" s="13">
        <f t="shared" si="1"/>
        <v>0.78979846879115345</v>
      </c>
      <c r="J52" s="11">
        <f>(SUM(G53:$G$79)*$I$1)</f>
        <v>0.16042654015158486</v>
      </c>
      <c r="K52" s="11">
        <f t="shared" si="6"/>
        <v>-0.12020319215318204</v>
      </c>
      <c r="Q52" s="65">
        <v>48</v>
      </c>
      <c r="R52" s="66">
        <f>Inputs!H55</f>
        <v>1.627E-3</v>
      </c>
    </row>
    <row r="53" spans="1:18" x14ac:dyDescent="0.25">
      <c r="A53">
        <f t="shared" si="2"/>
        <v>113</v>
      </c>
      <c r="B53">
        <v>49</v>
      </c>
      <c r="C53" s="12">
        <f t="shared" si="3"/>
        <v>0.4</v>
      </c>
      <c r="D53" s="10">
        <f t="shared" si="4"/>
        <v>0.6</v>
      </c>
      <c r="E53" s="198">
        <f>IF(B53&lt;=$C$2,1,IF(B53=$C$2+1,PRODUCT($D$5:D53),E52*D53))</f>
        <v>9.477581625493841E-5</v>
      </c>
      <c r="F53" s="10">
        <f t="shared" si="0"/>
        <v>0.14634111994656898</v>
      </c>
      <c r="G53" s="10">
        <f t="shared" si="5"/>
        <v>1.3869599094597924E-5</v>
      </c>
      <c r="I53" s="13">
        <f t="shared" si="1"/>
        <v>0.47387908127469203</v>
      </c>
      <c r="J53" s="11">
        <f>(SUM(G54:$G$79)*$I$1)</f>
        <v>9.1078544678595275E-2</v>
      </c>
      <c r="K53" s="11">
        <f t="shared" si="6"/>
        <v>-6.9347995472989588E-2</v>
      </c>
      <c r="Q53" s="65">
        <v>49</v>
      </c>
      <c r="R53" s="66">
        <f>Inputs!H56</f>
        <v>1.8289999999999999E-3</v>
      </c>
    </row>
    <row r="54" spans="1:18" x14ac:dyDescent="0.25">
      <c r="A54">
        <f t="shared" si="2"/>
        <v>114</v>
      </c>
      <c r="B54">
        <v>50</v>
      </c>
      <c r="C54" s="12">
        <f t="shared" si="3"/>
        <v>0.4</v>
      </c>
      <c r="D54" s="10">
        <f t="shared" si="4"/>
        <v>0.6</v>
      </c>
      <c r="E54" s="198">
        <f>IF(B54&lt;=$C$2,1,IF(B54=$C$2+1,PRODUCT($D$5:D54),E53*D54))</f>
        <v>5.6865489752963043E-5</v>
      </c>
      <c r="F54" s="10">
        <f t="shared" si="0"/>
        <v>0.14071261533323939</v>
      </c>
      <c r="G54" s="10">
        <f t="shared" si="5"/>
        <v>8.0016917853449543E-6</v>
      </c>
      <c r="I54" s="13">
        <f t="shared" si="1"/>
        <v>0.28432744876481519</v>
      </c>
      <c r="J54" s="11">
        <f>(SUM(G55:$G$79)*$I$1)</f>
        <v>5.1070085751870505E-2</v>
      </c>
      <c r="K54" s="11">
        <f t="shared" si="6"/>
        <v>-4.000845892672477E-2</v>
      </c>
      <c r="Q54" s="65">
        <v>50</v>
      </c>
      <c r="R54" s="66">
        <f>Inputs!H57</f>
        <v>2.0569999999999998E-3</v>
      </c>
    </row>
    <row r="55" spans="1:18" x14ac:dyDescent="0.25">
      <c r="A55">
        <f t="shared" si="2"/>
        <v>115</v>
      </c>
      <c r="B55">
        <v>51</v>
      </c>
      <c r="C55" s="12">
        <f t="shared" si="3"/>
        <v>0.4</v>
      </c>
      <c r="D55" s="10">
        <f t="shared" si="4"/>
        <v>0.6</v>
      </c>
      <c r="E55" s="198">
        <f>IF(B55&lt;=$C$2,1,IF(B55=$C$2+1,PRODUCT($D$5:D55),E54*D55))</f>
        <v>3.4119293851777827E-5</v>
      </c>
      <c r="F55" s="10">
        <f t="shared" si="0"/>
        <v>0.13530059166657632</v>
      </c>
      <c r="G55" s="10">
        <f t="shared" si="5"/>
        <v>4.6163606453913197E-6</v>
      </c>
      <c r="I55" s="13">
        <f t="shared" si="1"/>
        <v>0.17059646925888913</v>
      </c>
      <c r="J55" s="11">
        <f>(SUM(G56:$G$79)*$I$1)</f>
        <v>2.7988282524913904E-2</v>
      </c>
      <c r="K55" s="11">
        <f t="shared" si="6"/>
        <v>-2.3081803226956601E-2</v>
      </c>
      <c r="Q55" s="65">
        <v>51</v>
      </c>
      <c r="R55" s="66">
        <f>Inputs!H58</f>
        <v>2.3019999999999998E-3</v>
      </c>
    </row>
    <row r="56" spans="1:18" x14ac:dyDescent="0.25">
      <c r="A56">
        <f t="shared" si="2"/>
        <v>116</v>
      </c>
      <c r="B56">
        <v>52</v>
      </c>
      <c r="C56" s="12">
        <f t="shared" si="3"/>
        <v>0.4</v>
      </c>
      <c r="D56" s="10">
        <f t="shared" si="4"/>
        <v>0.6</v>
      </c>
      <c r="E56" s="198">
        <f>IF(B56&lt;=$C$2,1,IF(B56=$C$2+1,PRODUCT($D$5:D56),E55*D56))</f>
        <v>2.0471576311066697E-5</v>
      </c>
      <c r="F56" s="10">
        <f t="shared" si="0"/>
        <v>0.13009672275632339</v>
      </c>
      <c r="G56" s="10">
        <f t="shared" si="5"/>
        <v>2.6632849877257618E-6</v>
      </c>
      <c r="I56" s="13">
        <f t="shared" si="1"/>
        <v>0.10235788155533349</v>
      </c>
      <c r="J56" s="11">
        <f>(SUM(G57:$G$79)*$I$1)</f>
        <v>1.4671857586285095E-2</v>
      </c>
      <c r="K56" s="11">
        <f t="shared" si="6"/>
        <v>-1.3316424938628809E-2</v>
      </c>
      <c r="Q56" s="65">
        <v>52</v>
      </c>
      <c r="R56" s="66">
        <f>Inputs!H59</f>
        <v>2.545E-3</v>
      </c>
    </row>
    <row r="57" spans="1:18" x14ac:dyDescent="0.25">
      <c r="A57">
        <f t="shared" si="2"/>
        <v>117</v>
      </c>
      <c r="B57">
        <v>53</v>
      </c>
      <c r="C57" s="12">
        <f t="shared" si="3"/>
        <v>0.4</v>
      </c>
      <c r="D57" s="10">
        <f t="shared" si="4"/>
        <v>0.6</v>
      </c>
      <c r="E57" s="198">
        <f>IF(B57&lt;=$C$2,1,IF(B57=$C$2+1,PRODUCT($D$5:D57),E56*D57))</f>
        <v>1.2282945786640019E-5</v>
      </c>
      <c r="F57" s="10">
        <f t="shared" si="0"/>
        <v>0.12509300265031092</v>
      </c>
      <c r="G57" s="10">
        <f t="shared" si="5"/>
        <v>1.5365105698417853E-6</v>
      </c>
      <c r="I57" s="13">
        <f t="shared" si="1"/>
        <v>6.1414728933200095E-2</v>
      </c>
      <c r="J57" s="11">
        <f>(SUM(G58:$G$79)*$I$1)</f>
        <v>6.9893047370761683E-3</v>
      </c>
      <c r="K57" s="11">
        <f t="shared" si="6"/>
        <v>-7.6825528492089267E-3</v>
      </c>
      <c r="Q57" s="65">
        <v>53</v>
      </c>
      <c r="R57" s="66">
        <f>Inputs!H60</f>
        <v>2.7789999999999998E-3</v>
      </c>
    </row>
    <row r="58" spans="1:18" x14ac:dyDescent="0.25">
      <c r="A58">
        <f t="shared" si="2"/>
        <v>118</v>
      </c>
      <c r="B58">
        <v>54</v>
      </c>
      <c r="C58" s="12">
        <f t="shared" si="3"/>
        <v>0.4</v>
      </c>
      <c r="D58" s="10">
        <f t="shared" si="4"/>
        <v>0.6</v>
      </c>
      <c r="E58" s="198">
        <f>IF(B58&lt;=$C$2,1,IF(B58=$C$2+1,PRODUCT($D$5:D58),E57*D58))</f>
        <v>7.3697674719840105E-6</v>
      </c>
      <c r="F58" s="10">
        <f t="shared" si="0"/>
        <v>0.12028173331760666</v>
      </c>
      <c r="G58" s="10">
        <f t="shared" si="5"/>
        <v>8.8644840567795303E-7</v>
      </c>
      <c r="I58" s="13">
        <f t="shared" si="1"/>
        <v>3.6848837359920054E-2</v>
      </c>
      <c r="J58" s="11">
        <f>(SUM(G59:$G$79)*$I$1)</f>
        <v>2.5570627086864031E-3</v>
      </c>
      <c r="K58" s="11">
        <f t="shared" si="6"/>
        <v>-4.4322420283897657E-3</v>
      </c>
      <c r="Q58" s="65">
        <v>54</v>
      </c>
      <c r="R58" s="66">
        <f>Inputs!H61</f>
        <v>3.0109999999999998E-3</v>
      </c>
    </row>
    <row r="59" spans="1:18" x14ac:dyDescent="0.25">
      <c r="A59">
        <f t="shared" si="2"/>
        <v>119</v>
      </c>
      <c r="B59">
        <v>55</v>
      </c>
      <c r="C59" s="12">
        <f t="shared" si="3"/>
        <v>0.4</v>
      </c>
      <c r="D59" s="10">
        <f t="shared" si="4"/>
        <v>0.6</v>
      </c>
      <c r="E59" s="198">
        <f>IF(B59&lt;=$C$2,1,IF(B59=$C$2+1,PRODUCT($D$5:D59),E58*D59))</f>
        <v>4.4218604831904061E-6</v>
      </c>
      <c r="F59" s="10">
        <f t="shared" si="0"/>
        <v>0.11565551280539103</v>
      </c>
      <c r="G59" s="10">
        <f t="shared" si="5"/>
        <v>5.1141254173728062E-7</v>
      </c>
      <c r="I59" s="13">
        <f t="shared" si="1"/>
        <v>2.2109302415952031E-2</v>
      </c>
      <c r="J59" s="11">
        <f>(SUM(G60:$G$79)*$I$1)</f>
        <v>0</v>
      </c>
      <c r="K59" s="11">
        <f t="shared" si="6"/>
        <v>-2.5570627086864031E-3</v>
      </c>
      <c r="Q59" s="65">
        <v>55</v>
      </c>
      <c r="R59" s="66">
        <f>Inputs!H62</f>
        <v>3.2539999999999999E-3</v>
      </c>
    </row>
    <row r="60" spans="1:18" x14ac:dyDescent="0.25">
      <c r="A60">
        <f t="shared" si="2"/>
        <v>120</v>
      </c>
      <c r="B60">
        <v>56</v>
      </c>
      <c r="C60" s="12">
        <f t="shared" si="3"/>
        <v>1</v>
      </c>
      <c r="D60" s="10">
        <f t="shared" si="4"/>
        <v>0</v>
      </c>
      <c r="E60" s="198">
        <f>IF(B60&lt;=$C$2,1,IF(B60=$C$2+1,PRODUCT($D$5:D60),E59*D60))</f>
        <v>0</v>
      </c>
      <c r="F60" s="10">
        <f t="shared" si="0"/>
        <v>0</v>
      </c>
      <c r="G60" s="10">
        <f t="shared" si="5"/>
        <v>0</v>
      </c>
      <c r="I60" s="13">
        <f t="shared" si="1"/>
        <v>0</v>
      </c>
      <c r="J60" s="11">
        <f>(SUM(G61:$G$79)*$I$1)</f>
        <v>0</v>
      </c>
      <c r="K60" s="11">
        <f t="shared" si="6"/>
        <v>0</v>
      </c>
      <c r="Q60" s="65">
        <v>56</v>
      </c>
      <c r="R60" s="66">
        <f>Inputs!H63</f>
        <v>3.529E-3</v>
      </c>
    </row>
    <row r="61" spans="1:18" x14ac:dyDescent="0.25">
      <c r="C61" s="12"/>
      <c r="D61" s="10"/>
      <c r="E61" s="198"/>
      <c r="F61" s="10"/>
      <c r="G61" s="10"/>
      <c r="I61" s="13"/>
      <c r="J61" s="11"/>
      <c r="K61" s="11"/>
      <c r="Q61" s="65">
        <v>57</v>
      </c>
      <c r="R61" s="66">
        <f>Inputs!H64</f>
        <v>3.8449999999999999E-3</v>
      </c>
    </row>
    <row r="62" spans="1:18" x14ac:dyDescent="0.25">
      <c r="C62" s="12"/>
      <c r="D62" s="10"/>
      <c r="E62" s="198"/>
      <c r="F62" s="10"/>
      <c r="G62" s="10"/>
      <c r="I62" s="13"/>
      <c r="J62" s="11"/>
      <c r="K62" s="11"/>
      <c r="Q62" s="65">
        <v>58</v>
      </c>
      <c r="R62" s="66">
        <f>Inputs!H65</f>
        <v>4.2129999999999997E-3</v>
      </c>
    </row>
    <row r="63" spans="1:18" x14ac:dyDescent="0.25">
      <c r="C63" s="12"/>
      <c r="D63" s="10"/>
      <c r="E63" s="198"/>
      <c r="F63" s="10"/>
      <c r="G63" s="10"/>
      <c r="I63" s="13"/>
      <c r="J63" s="11"/>
      <c r="K63" s="11"/>
      <c r="Q63" s="65">
        <v>59</v>
      </c>
      <c r="R63" s="66">
        <f>Inputs!H66</f>
        <v>4.6309999999999997E-3</v>
      </c>
    </row>
    <row r="64" spans="1:18" x14ac:dyDescent="0.25">
      <c r="C64" s="12"/>
      <c r="D64" s="10"/>
      <c r="E64" s="198"/>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D126" s="35"/>
      <c r="E126" s="35"/>
    </row>
    <row r="127" spans="3:18" x14ac:dyDescent="0.25">
      <c r="D127" s="35"/>
      <c r="E127" s="35"/>
    </row>
    <row r="128" spans="3:18" x14ac:dyDescent="0.25">
      <c r="D128" s="35"/>
      <c r="E128" s="35"/>
    </row>
    <row r="129" spans="3:5" x14ac:dyDescent="0.25">
      <c r="D129" s="35"/>
      <c r="E129" s="35"/>
    </row>
    <row r="130" spans="3:5" x14ac:dyDescent="0.25">
      <c r="D130" s="35"/>
      <c r="E130" s="35"/>
    </row>
    <row r="131" spans="3:5" x14ac:dyDescent="0.25">
      <c r="D131" s="35"/>
      <c r="E131" s="35"/>
    </row>
    <row r="132" spans="3:5" x14ac:dyDescent="0.25">
      <c r="D132" s="35"/>
      <c r="E132" s="35"/>
    </row>
    <row r="134" spans="3:5" x14ac:dyDescent="0.25">
      <c r="C134" s="25"/>
    </row>
    <row r="135" spans="3:5" x14ac:dyDescent="0.25">
      <c r="C135" s="25"/>
    </row>
    <row r="136" spans="3:5" x14ac:dyDescent="0.25">
      <c r="C136" s="25"/>
    </row>
    <row r="137" spans="3:5" x14ac:dyDescent="0.25">
      <c r="C137" s="25"/>
    </row>
    <row r="138" spans="3:5" x14ac:dyDescent="0.25">
      <c r="C138" s="25"/>
    </row>
    <row r="139" spans="3:5" x14ac:dyDescent="0.25">
      <c r="C139" s="25"/>
    </row>
    <row r="140" spans="3:5" x14ac:dyDescent="0.25">
      <c r="C140" s="25"/>
    </row>
    <row r="141" spans="3:5" x14ac:dyDescent="0.25">
      <c r="C141" s="25"/>
    </row>
    <row r="142" spans="3:5" x14ac:dyDescent="0.25">
      <c r="C142" s="25"/>
    </row>
    <row r="143" spans="3:5" x14ac:dyDescent="0.25">
      <c r="C143" s="25"/>
    </row>
    <row r="144" spans="3:5"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64">
    <cfRule type="cellIs" dxfId="28"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0" workbookViewId="0">
      <selection activeCell="C126" sqref="C126:E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140</v>
      </c>
      <c r="I1" s="3">
        <v>5000</v>
      </c>
      <c r="J1" s="181" t="s">
        <v>173</v>
      </c>
      <c r="L1" s="1"/>
      <c r="M1" s="4"/>
      <c r="N1" s="4"/>
      <c r="O1" s="4"/>
      <c r="P1" s="4"/>
      <c r="Q1" s="64"/>
      <c r="R1" s="28"/>
    </row>
    <row r="2" spans="1:18" ht="15.75" customHeight="1" thickBot="1" x14ac:dyDescent="0.3">
      <c r="B2" t="s">
        <v>227</v>
      </c>
      <c r="C2">
        <v>15</v>
      </c>
      <c r="F2" s="5">
        <f>'Asset and Liability Durations'!N14</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+SUMPRODUCT(B5:B60,I5:I60,F5:F60)/SUMPRODUCT(F5:F60,I5:I60)</f>
        <v>10.644239808275724</v>
      </c>
      <c r="N3" s="10"/>
      <c r="O3" s="10"/>
      <c r="P3" s="10"/>
      <c r="Q3" s="31"/>
      <c r="R3" s="32"/>
    </row>
    <row r="4" spans="1:18" x14ac:dyDescent="0.25">
      <c r="A4">
        <v>64</v>
      </c>
      <c r="B4">
        <v>0</v>
      </c>
      <c r="C4" s="8"/>
      <c r="D4" s="7"/>
      <c r="E4" s="7"/>
      <c r="F4" s="7"/>
      <c r="G4" s="10">
        <v>1</v>
      </c>
      <c r="J4" s="11">
        <f>(SUM(G5:$G$79)*$I$1)</f>
        <v>72845.225923767575</v>
      </c>
      <c r="Q4" s="65">
        <v>0</v>
      </c>
      <c r="R4" s="66">
        <f>Inputs!H7</f>
        <v>1.6050000000000001E-3</v>
      </c>
    </row>
    <row r="5" spans="1:18" ht="15.75" thickBot="1" x14ac:dyDescent="0.3">
      <c r="A5">
        <f>B5+$A$4</f>
        <v>65</v>
      </c>
      <c r="B5">
        <v>1</v>
      </c>
      <c r="C5" s="12">
        <f>VLOOKUP(A5,$Q$4:$R$124,2,FALSE)</f>
        <v>8.1060000000000004E-3</v>
      </c>
      <c r="D5" s="10">
        <f>1-C5</f>
        <v>0.99189400000000005</v>
      </c>
      <c r="E5" s="198">
        <f>IF(B5&lt;=$C$2,1,IF(B5=$C$2+1,PRODUCT($D$5:D5),E4*D5))</f>
        <v>1</v>
      </c>
      <c r="F5" s="10">
        <f t="shared" ref="F5:F60" si="0">IF(D5=0,0,(1+$F$2)^-B5)</f>
        <v>0.96153846153846145</v>
      </c>
      <c r="G5" s="10">
        <f>F5*E5</f>
        <v>0.96153846153846145</v>
      </c>
      <c r="I5" s="13">
        <f t="shared" ref="I5:I60" si="1">E5*$I$1</f>
        <v>5000</v>
      </c>
      <c r="J5" s="11">
        <f>(SUM(G6:$G$79)*$I$1)</f>
        <v>68037.533616075263</v>
      </c>
      <c r="K5" s="11">
        <f>J5-J4</f>
        <v>-4807.6923076923122</v>
      </c>
      <c r="L5" s="14" t="s">
        <v>16</v>
      </c>
      <c r="M5" s="14" t="s">
        <v>17</v>
      </c>
      <c r="N5" s="14" t="s">
        <v>18</v>
      </c>
      <c r="O5" s="14" t="s">
        <v>47</v>
      </c>
      <c r="Q5" s="65">
        <v>1</v>
      </c>
      <c r="R5" s="66">
        <f>Inputs!H8</f>
        <v>4.0099999999999999E-4</v>
      </c>
    </row>
    <row r="6" spans="1:18" x14ac:dyDescent="0.25">
      <c r="A6">
        <f t="shared" ref="A6:A60" si="2">B6+$A$4</f>
        <v>66</v>
      </c>
      <c r="B6">
        <v>2</v>
      </c>
      <c r="C6" s="12">
        <f t="shared" ref="C6:C60" si="3">VLOOKUP(A6,$Q$4:$R$124,2,FALSE)</f>
        <v>8.548E-3</v>
      </c>
      <c r="D6" s="10">
        <f t="shared" ref="D6:D60" si="4">1-C6</f>
        <v>0.991452</v>
      </c>
      <c r="E6" s="198">
        <f>IF(B6&lt;=$C$2,1,IF(B6=$C$2+1,PRODUCT($D$5:D6),E5*D6))</f>
        <v>1</v>
      </c>
      <c r="F6" s="10">
        <f t="shared" si="0"/>
        <v>0.92455621301775137</v>
      </c>
      <c r="G6" s="10">
        <f t="shared" ref="G6:G60" si="5">F6*E6</f>
        <v>0.92455621301775137</v>
      </c>
      <c r="I6" s="13">
        <f t="shared" si="1"/>
        <v>5000</v>
      </c>
      <c r="J6" s="11">
        <f>(SUM(G7:$G$79)*$I$1)</f>
        <v>63414.752550986501</v>
      </c>
      <c r="K6" s="11">
        <f t="shared" ref="K6:K60" si="6">J6-J5</f>
        <v>-4622.7810650887623</v>
      </c>
      <c r="L6" s="14">
        <v>2</v>
      </c>
      <c r="M6" s="54" t="s">
        <v>44</v>
      </c>
      <c r="N6" s="15">
        <f>SUM(I5:I7)</f>
        <v>15000</v>
      </c>
      <c r="O6" s="16">
        <f>N6/SUM($N$6:$N$9)</f>
        <v>0.12949171001572601</v>
      </c>
      <c r="Q6" s="65">
        <v>2</v>
      </c>
      <c r="R6" s="66">
        <f>Inputs!H9</f>
        <v>2.7500000000000002E-4</v>
      </c>
    </row>
    <row r="7" spans="1:18" x14ac:dyDescent="0.25">
      <c r="A7">
        <f t="shared" si="2"/>
        <v>67</v>
      </c>
      <c r="B7">
        <v>3</v>
      </c>
      <c r="C7" s="12">
        <f t="shared" si="3"/>
        <v>9.0760000000000007E-3</v>
      </c>
      <c r="D7" s="10">
        <f t="shared" si="4"/>
        <v>0.99092400000000003</v>
      </c>
      <c r="E7" s="198">
        <f>IF(B7&lt;=$C$2,1,IF(B7=$C$2+1,PRODUCT($D$5:D7),E6*D7))</f>
        <v>1</v>
      </c>
      <c r="F7" s="10">
        <f t="shared" si="0"/>
        <v>0.88899635867091487</v>
      </c>
      <c r="G7" s="10">
        <f t="shared" si="5"/>
        <v>0.88899635867091487</v>
      </c>
      <c r="I7" s="13">
        <f t="shared" si="1"/>
        <v>5000</v>
      </c>
      <c r="J7" s="11">
        <f>(SUM(G8:$G$79)*$I$1)</f>
        <v>58969.770757631915</v>
      </c>
      <c r="K7" s="11">
        <f t="shared" si="6"/>
        <v>-4444.9817933545855</v>
      </c>
      <c r="L7" s="14">
        <v>5</v>
      </c>
      <c r="M7" s="19" t="s">
        <v>45</v>
      </c>
      <c r="N7" s="17">
        <f>SUM(I8:I11)</f>
        <v>20000</v>
      </c>
      <c r="O7" s="18">
        <f>N7/SUM($N$6:$N$9)</f>
        <v>0.17265561335430135</v>
      </c>
      <c r="Q7" s="65">
        <v>3</v>
      </c>
      <c r="R7" s="66">
        <f>Inputs!H10</f>
        <v>2.2900000000000001E-4</v>
      </c>
    </row>
    <row r="8" spans="1:18" x14ac:dyDescent="0.25">
      <c r="A8">
        <f t="shared" si="2"/>
        <v>68</v>
      </c>
      <c r="B8">
        <v>4</v>
      </c>
      <c r="C8" s="12">
        <f t="shared" si="3"/>
        <v>9.7079999999999996E-3</v>
      </c>
      <c r="D8" s="10">
        <f t="shared" si="4"/>
        <v>0.99029199999999995</v>
      </c>
      <c r="E8" s="198">
        <f>IF(B8&lt;=$C$2,1,IF(B8=$C$2+1,PRODUCT($D$5:D8),E7*D8))</f>
        <v>1</v>
      </c>
      <c r="F8" s="10">
        <f t="shared" si="0"/>
        <v>0.85480419102972571</v>
      </c>
      <c r="G8" s="10">
        <f t="shared" si="5"/>
        <v>0.85480419102972571</v>
      </c>
      <c r="I8" s="13">
        <f t="shared" si="1"/>
        <v>5000</v>
      </c>
      <c r="J8" s="11">
        <f>(SUM(G9:$G$79)*$I$1)</f>
        <v>54695.749802483304</v>
      </c>
      <c r="K8" s="11">
        <f t="shared" si="6"/>
        <v>-4274.0209551486114</v>
      </c>
      <c r="L8" s="14">
        <v>10</v>
      </c>
      <c r="M8" s="19" t="s">
        <v>46</v>
      </c>
      <c r="N8" s="17">
        <f>SUM(I12:I19)</f>
        <v>40000</v>
      </c>
      <c r="O8" s="18">
        <f>N8/SUM($N$6:$N$9)</f>
        <v>0.3453112267086027</v>
      </c>
      <c r="Q8" s="65">
        <v>4</v>
      </c>
      <c r="R8" s="66">
        <f>Inputs!H11</f>
        <v>1.74E-4</v>
      </c>
    </row>
    <row r="9" spans="1:18" ht="15.75" thickBot="1" x14ac:dyDescent="0.3">
      <c r="A9">
        <f t="shared" si="2"/>
        <v>69</v>
      </c>
      <c r="B9">
        <v>5</v>
      </c>
      <c r="C9" s="12">
        <f t="shared" si="3"/>
        <v>1.0463E-2</v>
      </c>
      <c r="D9" s="10">
        <f t="shared" si="4"/>
        <v>0.989537</v>
      </c>
      <c r="E9" s="198">
        <f>IF(B9&lt;=$C$2,1,IF(B9=$C$2+1,PRODUCT($D$5:D9),E8*D9))</f>
        <v>1</v>
      </c>
      <c r="F9" s="10">
        <f t="shared" si="0"/>
        <v>0.82192710675935154</v>
      </c>
      <c r="G9" s="10">
        <f t="shared" si="5"/>
        <v>0.82192710675935154</v>
      </c>
      <c r="I9" s="13">
        <f t="shared" si="1"/>
        <v>5000</v>
      </c>
      <c r="J9" s="11">
        <f>(SUM(G10:$G$79)*$I$1)</f>
        <v>50586.114268686542</v>
      </c>
      <c r="K9" s="11">
        <f t="shared" si="6"/>
        <v>-4109.6355337967616</v>
      </c>
      <c r="L9" s="14">
        <v>30</v>
      </c>
      <c r="M9" s="20" t="s">
        <v>48</v>
      </c>
      <c r="N9" s="21">
        <f>SUM(I20:I70)</f>
        <v>40837.531207042804</v>
      </c>
      <c r="O9" s="22">
        <f>N9/SUM($N$6:$N$9)</f>
        <v>0.35254144992136993</v>
      </c>
      <c r="Q9" s="65">
        <v>5</v>
      </c>
      <c r="R9" s="66">
        <f>Inputs!H12</f>
        <v>1.6799999999999999E-4</v>
      </c>
    </row>
    <row r="10" spans="1:18" x14ac:dyDescent="0.25">
      <c r="A10">
        <f t="shared" si="2"/>
        <v>70</v>
      </c>
      <c r="B10">
        <v>6</v>
      </c>
      <c r="C10" s="12">
        <f t="shared" si="3"/>
        <v>1.1357000000000001E-2</v>
      </c>
      <c r="D10" s="10">
        <f t="shared" si="4"/>
        <v>0.98864300000000005</v>
      </c>
      <c r="E10" s="198">
        <f>IF(B10&lt;=$C$2,1,IF(B10=$C$2+1,PRODUCT($D$5:D10),E9*D10))</f>
        <v>1</v>
      </c>
      <c r="F10" s="10">
        <f t="shared" si="0"/>
        <v>0.79031452573014571</v>
      </c>
      <c r="G10" s="10">
        <f t="shared" si="5"/>
        <v>0.79031452573014571</v>
      </c>
      <c r="I10" s="13">
        <f t="shared" si="1"/>
        <v>5000</v>
      </c>
      <c r="J10" s="11">
        <f>(SUM(G11:$G$79)*$I$1)</f>
        <v>46634.541640035823</v>
      </c>
      <c r="K10" s="11">
        <f t="shared" si="6"/>
        <v>-3951.5726286507197</v>
      </c>
      <c r="L10" s="53">
        <f>+SUMPRODUCT(L6:L9,O6:O9)</f>
        <v>15.151617251530084</v>
      </c>
      <c r="O10" s="23">
        <f>SUM(O6:O9)</f>
        <v>1</v>
      </c>
      <c r="Q10" s="65">
        <v>6</v>
      </c>
      <c r="R10" s="66">
        <f>Inputs!H13</f>
        <v>1.65E-4</v>
      </c>
    </row>
    <row r="11" spans="1:18" x14ac:dyDescent="0.25">
      <c r="A11">
        <f t="shared" si="2"/>
        <v>71</v>
      </c>
      <c r="B11">
        <v>7</v>
      </c>
      <c r="C11" s="12">
        <f t="shared" si="3"/>
        <v>1.2418E-2</v>
      </c>
      <c r="D11" s="10">
        <f t="shared" si="4"/>
        <v>0.98758199999999996</v>
      </c>
      <c r="E11" s="198">
        <f>IF(B11&lt;=$C$2,1,IF(B11=$C$2+1,PRODUCT($D$5:D11),E10*D11))</f>
        <v>1</v>
      </c>
      <c r="F11" s="10">
        <f t="shared" si="0"/>
        <v>0.75991781320206331</v>
      </c>
      <c r="G11" s="10">
        <f t="shared" si="5"/>
        <v>0.75991781320206331</v>
      </c>
      <c r="I11" s="13">
        <f t="shared" si="1"/>
        <v>5000</v>
      </c>
      <c r="J11" s="11">
        <f>(SUM(G12:$G$79)*$I$1)</f>
        <v>42834.95257402549</v>
      </c>
      <c r="K11" s="11">
        <f t="shared" si="6"/>
        <v>-3799.5890660103323</v>
      </c>
      <c r="Q11" s="65">
        <v>7</v>
      </c>
      <c r="R11" s="66">
        <f>Inputs!H14</f>
        <v>1.5899999999999999E-4</v>
      </c>
    </row>
    <row r="12" spans="1:18" x14ac:dyDescent="0.25">
      <c r="A12">
        <f t="shared" si="2"/>
        <v>72</v>
      </c>
      <c r="B12">
        <v>8</v>
      </c>
      <c r="C12" s="12">
        <f t="shared" si="3"/>
        <v>1.3675E-2</v>
      </c>
      <c r="D12" s="10">
        <f t="shared" si="4"/>
        <v>0.98632500000000001</v>
      </c>
      <c r="E12" s="198">
        <f>IF(B12&lt;=$C$2,1,IF(B12=$C$2+1,PRODUCT($D$5:D12),E11*D12))</f>
        <v>1</v>
      </c>
      <c r="F12" s="10">
        <f t="shared" si="0"/>
        <v>0.73069020500198378</v>
      </c>
      <c r="G12" s="10">
        <f t="shared" si="5"/>
        <v>0.73069020500198378</v>
      </c>
      <c r="I12" s="13">
        <f t="shared" si="1"/>
        <v>5000</v>
      </c>
      <c r="J12" s="11">
        <f>(SUM(G13:$G$79)*$I$1)</f>
        <v>39181.501549015557</v>
      </c>
      <c r="K12" s="11">
        <f t="shared" si="6"/>
        <v>-3653.4510250099338</v>
      </c>
      <c r="Q12" s="65">
        <v>8</v>
      </c>
      <c r="R12" s="66">
        <f>Inputs!H15</f>
        <v>1.4300000000000001E-4</v>
      </c>
    </row>
    <row r="13" spans="1:18" x14ac:dyDescent="0.25">
      <c r="A13">
        <f t="shared" si="2"/>
        <v>73</v>
      </c>
      <c r="B13">
        <v>9</v>
      </c>
      <c r="C13" s="12">
        <f t="shared" si="3"/>
        <v>1.515E-2</v>
      </c>
      <c r="D13" s="10">
        <f t="shared" si="4"/>
        <v>0.98485</v>
      </c>
      <c r="E13" s="198">
        <f>IF(B13&lt;=$C$2,1,IF(B13=$C$2+1,PRODUCT($D$5:D13),E12*D13))</f>
        <v>1</v>
      </c>
      <c r="F13" s="10">
        <f t="shared" si="0"/>
        <v>0.70258673557883045</v>
      </c>
      <c r="G13" s="10">
        <f t="shared" si="5"/>
        <v>0.70258673557883045</v>
      </c>
      <c r="I13" s="13">
        <f t="shared" si="1"/>
        <v>5000</v>
      </c>
      <c r="J13" s="11">
        <f>(SUM(G14:$G$79)*$I$1)</f>
        <v>35668.567871121406</v>
      </c>
      <c r="K13" s="11">
        <f t="shared" si="6"/>
        <v>-3512.9336778941506</v>
      </c>
      <c r="Q13" s="65">
        <v>9</v>
      </c>
      <c r="R13" s="66">
        <f>Inputs!H16</f>
        <v>1.2899999999999999E-4</v>
      </c>
    </row>
    <row r="14" spans="1:18" x14ac:dyDescent="0.25">
      <c r="A14">
        <f t="shared" si="2"/>
        <v>74</v>
      </c>
      <c r="B14">
        <v>10</v>
      </c>
      <c r="C14" s="12">
        <f t="shared" si="3"/>
        <v>1.686E-2</v>
      </c>
      <c r="D14" s="10">
        <f t="shared" si="4"/>
        <v>0.98314000000000001</v>
      </c>
      <c r="E14" s="198">
        <f>IF(B14&lt;=$C$2,1,IF(B14=$C$2+1,PRODUCT($D$5:D14),E13*D14))</f>
        <v>1</v>
      </c>
      <c r="F14" s="10">
        <f t="shared" si="0"/>
        <v>0.67556416882579851</v>
      </c>
      <c r="G14" s="10">
        <f t="shared" si="5"/>
        <v>0.67556416882579851</v>
      </c>
      <c r="I14" s="13">
        <f t="shared" si="1"/>
        <v>5000</v>
      </c>
      <c r="J14" s="11">
        <f>(SUM(G15:$G$79)*$I$1)</f>
        <v>32290.747026992412</v>
      </c>
      <c r="K14" s="11">
        <f t="shared" si="6"/>
        <v>-3377.8208441289935</v>
      </c>
      <c r="Q14" s="65">
        <v>10</v>
      </c>
      <c r="R14" s="66">
        <f>Inputs!H17</f>
        <v>1.13E-4</v>
      </c>
    </row>
    <row r="15" spans="1:18" x14ac:dyDescent="0.25">
      <c r="A15">
        <f t="shared" si="2"/>
        <v>75</v>
      </c>
      <c r="B15">
        <v>11</v>
      </c>
      <c r="C15" s="12">
        <f t="shared" si="3"/>
        <v>1.8814999999999998E-2</v>
      </c>
      <c r="D15" s="10">
        <f t="shared" si="4"/>
        <v>0.98118499999999997</v>
      </c>
      <c r="E15" s="198">
        <f>IF(B15&lt;=$C$2,1,IF(B15=$C$2+1,PRODUCT($D$5:D15),E14*D15))</f>
        <v>1</v>
      </c>
      <c r="F15" s="10">
        <f t="shared" si="0"/>
        <v>0.6495809315632679</v>
      </c>
      <c r="G15" s="10">
        <f t="shared" si="5"/>
        <v>0.6495809315632679</v>
      </c>
      <c r="I15" s="13">
        <f t="shared" si="1"/>
        <v>5000</v>
      </c>
      <c r="J15" s="11">
        <f>(SUM(G16:$G$79)*$I$1)</f>
        <v>29042.842369176073</v>
      </c>
      <c r="K15" s="11">
        <f t="shared" si="6"/>
        <v>-3247.9046578163397</v>
      </c>
      <c r="Q15" s="65">
        <v>11</v>
      </c>
      <c r="R15" s="66">
        <f>Inputs!H18</f>
        <v>1.11E-4</v>
      </c>
    </row>
    <row r="16" spans="1:18" x14ac:dyDescent="0.25">
      <c r="A16">
        <f t="shared" si="2"/>
        <v>76</v>
      </c>
      <c r="B16">
        <v>12</v>
      </c>
      <c r="C16" s="12">
        <f t="shared" si="3"/>
        <v>2.1031000000000001E-2</v>
      </c>
      <c r="D16" s="10">
        <f t="shared" si="4"/>
        <v>0.97896899999999998</v>
      </c>
      <c r="E16" s="198">
        <f>IF(B16&lt;=$C$2,1,IF(B16=$C$2+1,PRODUCT($D$5:D16),E15*D16))</f>
        <v>1</v>
      </c>
      <c r="F16" s="10">
        <f t="shared" si="0"/>
        <v>0.62459704958006512</v>
      </c>
      <c r="G16" s="10">
        <f t="shared" si="5"/>
        <v>0.62459704958006512</v>
      </c>
      <c r="I16" s="13">
        <f t="shared" si="1"/>
        <v>5000</v>
      </c>
      <c r="J16" s="11">
        <f>(SUM(G17:$G$79)*$I$1)</f>
        <v>25919.857121275752</v>
      </c>
      <c r="K16" s="11">
        <f t="shared" si="6"/>
        <v>-3122.9852479003202</v>
      </c>
      <c r="Q16" s="65">
        <v>12</v>
      </c>
      <c r="R16" s="66">
        <f>Inputs!H19</f>
        <v>1.3200000000000001E-4</v>
      </c>
    </row>
    <row r="17" spans="1:18" x14ac:dyDescent="0.25">
      <c r="A17">
        <f t="shared" si="2"/>
        <v>77</v>
      </c>
      <c r="B17">
        <v>13</v>
      </c>
      <c r="C17" s="12">
        <f t="shared" si="3"/>
        <v>2.3539999999999998E-2</v>
      </c>
      <c r="D17" s="10">
        <f t="shared" si="4"/>
        <v>0.97645999999999999</v>
      </c>
      <c r="E17" s="198">
        <f>IF(B17&lt;=$C$2,1,IF(B17=$C$2+1,PRODUCT($D$5:D17),E16*D17))</f>
        <v>1</v>
      </c>
      <c r="F17" s="10">
        <f t="shared" si="0"/>
        <v>0.600574086134678</v>
      </c>
      <c r="G17" s="10">
        <f t="shared" si="5"/>
        <v>0.600574086134678</v>
      </c>
      <c r="I17" s="13">
        <f t="shared" si="1"/>
        <v>5000</v>
      </c>
      <c r="J17" s="11">
        <f>(SUM(G18:$G$79)*$I$1)</f>
        <v>22916.986690602364</v>
      </c>
      <c r="K17" s="11">
        <f t="shared" si="6"/>
        <v>-3002.8704306733889</v>
      </c>
      <c r="Q17" s="65">
        <v>13</v>
      </c>
      <c r="R17" s="66">
        <f>Inputs!H20</f>
        <v>1.6899999999999999E-4</v>
      </c>
    </row>
    <row r="18" spans="1:18" x14ac:dyDescent="0.25">
      <c r="A18">
        <f t="shared" si="2"/>
        <v>78</v>
      </c>
      <c r="B18">
        <v>14</v>
      </c>
      <c r="C18" s="12">
        <f t="shared" si="3"/>
        <v>2.6374999999999999E-2</v>
      </c>
      <c r="D18" s="10">
        <f t="shared" si="4"/>
        <v>0.97362499999999996</v>
      </c>
      <c r="E18" s="198">
        <f>IF(B18&lt;=$C$2,1,IF(B18=$C$2+1,PRODUCT($D$5:D18),E17*D18))</f>
        <v>1</v>
      </c>
      <c r="F18" s="10">
        <f t="shared" si="0"/>
        <v>0.57747508282180582</v>
      </c>
      <c r="G18" s="10">
        <f t="shared" si="5"/>
        <v>0.57747508282180582</v>
      </c>
      <c r="I18" s="13">
        <f t="shared" si="1"/>
        <v>5000</v>
      </c>
      <c r="J18" s="11">
        <f>(SUM(G19:$G$79)*$I$1)</f>
        <v>20029.611276493339</v>
      </c>
      <c r="K18" s="11">
        <f t="shared" si="6"/>
        <v>-2887.3754141090249</v>
      </c>
      <c r="Q18" s="65">
        <v>14</v>
      </c>
      <c r="R18" s="66">
        <f>Inputs!H21</f>
        <v>2.13E-4</v>
      </c>
    </row>
    <row r="19" spans="1:18" x14ac:dyDescent="0.25">
      <c r="A19">
        <f t="shared" si="2"/>
        <v>79</v>
      </c>
      <c r="B19">
        <v>15</v>
      </c>
      <c r="C19" s="12">
        <f t="shared" si="3"/>
        <v>2.9572000000000001E-2</v>
      </c>
      <c r="D19" s="10">
        <f t="shared" si="4"/>
        <v>0.97042799999999996</v>
      </c>
      <c r="E19" s="198">
        <f>IF(B19&lt;=$C$2,1,IF(B19=$C$2+1,PRODUCT($D$5:D19),E18*D19))</f>
        <v>1</v>
      </c>
      <c r="F19" s="10">
        <f t="shared" si="0"/>
        <v>0.55526450271327477</v>
      </c>
      <c r="G19" s="10">
        <f t="shared" si="5"/>
        <v>0.55526450271327477</v>
      </c>
      <c r="I19" s="13">
        <f t="shared" si="1"/>
        <v>5000</v>
      </c>
      <c r="J19" s="11">
        <f>(SUM(G20:$G$79)*$I$1)</f>
        <v>17253.288762926957</v>
      </c>
      <c r="K19" s="11">
        <f t="shared" si="6"/>
        <v>-2776.3225135663815</v>
      </c>
      <c r="Q19" s="65">
        <v>15</v>
      </c>
      <c r="R19" s="66">
        <f>Inputs!H22</f>
        <v>2.5399999999999999E-4</v>
      </c>
    </row>
    <row r="20" spans="1:18" x14ac:dyDescent="0.25">
      <c r="A20">
        <f t="shared" si="2"/>
        <v>80</v>
      </c>
      <c r="B20">
        <v>16</v>
      </c>
      <c r="C20" s="12">
        <f t="shared" si="3"/>
        <v>3.3234E-2</v>
      </c>
      <c r="D20" s="10">
        <f t="shared" si="4"/>
        <v>0.96676600000000001</v>
      </c>
      <c r="E20" s="198">
        <f>IF(B20&lt;=$C$2,1,IF(B20=$C$2+1,PRODUCT($D$5:D20),E19*D20))</f>
        <v>0.7628540762519711</v>
      </c>
      <c r="F20" s="10">
        <f t="shared" si="0"/>
        <v>0.53390817568584104</v>
      </c>
      <c r="G20" s="10">
        <f t="shared" si="5"/>
        <v>0.40729402816619736</v>
      </c>
      <c r="I20" s="13">
        <f t="shared" si="1"/>
        <v>3814.2703812598556</v>
      </c>
      <c r="J20" s="11">
        <f>(SUM(G21:$G$79)*$I$1)</f>
        <v>15216.818622095971</v>
      </c>
      <c r="K20" s="11">
        <f t="shared" si="6"/>
        <v>-2036.4701408309866</v>
      </c>
      <c r="Q20" s="65">
        <v>16</v>
      </c>
      <c r="R20" s="66">
        <f>Inputs!H23</f>
        <v>2.9300000000000002E-4</v>
      </c>
    </row>
    <row r="21" spans="1:18" x14ac:dyDescent="0.25">
      <c r="A21">
        <f t="shared" si="2"/>
        <v>81</v>
      </c>
      <c r="B21">
        <v>17</v>
      </c>
      <c r="C21" s="12">
        <f t="shared" si="3"/>
        <v>3.7532999999999997E-2</v>
      </c>
      <c r="D21" s="10">
        <f t="shared" si="4"/>
        <v>0.96246699999999996</v>
      </c>
      <c r="E21" s="198">
        <f>IF(B21&lt;=$C$2,1,IF(B21=$C$2+1,PRODUCT($D$5:D21),E20*D21))</f>
        <v>0.73422187420800589</v>
      </c>
      <c r="F21" s="10">
        <f t="shared" si="0"/>
        <v>0.51337324585177024</v>
      </c>
      <c r="G21" s="10">
        <f t="shared" si="5"/>
        <v>0.37692986673753415</v>
      </c>
      <c r="I21" s="13">
        <f t="shared" si="1"/>
        <v>3671.1093710400296</v>
      </c>
      <c r="J21" s="11">
        <f>(SUM(G22:$G$79)*$I$1)</f>
        <v>13332.1692884083</v>
      </c>
      <c r="K21" s="11">
        <f t="shared" si="6"/>
        <v>-1884.6493336876702</v>
      </c>
      <c r="Q21" s="65">
        <v>17</v>
      </c>
      <c r="R21" s="66">
        <f>Inputs!H24</f>
        <v>3.28E-4</v>
      </c>
    </row>
    <row r="22" spans="1:18" x14ac:dyDescent="0.25">
      <c r="A22">
        <f t="shared" si="2"/>
        <v>82</v>
      </c>
      <c r="B22">
        <v>18</v>
      </c>
      <c r="C22" s="12">
        <f t="shared" si="3"/>
        <v>4.2261E-2</v>
      </c>
      <c r="D22" s="10">
        <f t="shared" si="4"/>
        <v>0.95773900000000001</v>
      </c>
      <c r="E22" s="198">
        <f>IF(B22&lt;=$C$2,1,IF(B22=$C$2+1,PRODUCT($D$5:D22),E21*D22))</f>
        <v>0.70319292358210139</v>
      </c>
      <c r="F22" s="10">
        <f t="shared" si="0"/>
        <v>0.49362812101131748</v>
      </c>
      <c r="G22" s="10">
        <f t="shared" si="5"/>
        <v>0.34711580157628769</v>
      </c>
      <c r="I22" s="13">
        <f t="shared" si="1"/>
        <v>3515.9646179105071</v>
      </c>
      <c r="J22" s="11">
        <f>(SUM(G23:$G$79)*$I$1)</f>
        <v>11596.590280526862</v>
      </c>
      <c r="K22" s="11">
        <f t="shared" si="6"/>
        <v>-1735.5790078814389</v>
      </c>
      <c r="Q22" s="65">
        <v>18</v>
      </c>
      <c r="R22" s="66">
        <f>Inputs!H25</f>
        <v>3.59E-4</v>
      </c>
    </row>
    <row r="23" spans="1:18" x14ac:dyDescent="0.25">
      <c r="A23">
        <f t="shared" si="2"/>
        <v>83</v>
      </c>
      <c r="B23">
        <v>19</v>
      </c>
      <c r="C23" s="12">
        <f t="shared" si="3"/>
        <v>4.7440999999999997E-2</v>
      </c>
      <c r="D23" s="10">
        <f t="shared" si="4"/>
        <v>0.95255900000000004</v>
      </c>
      <c r="E23" s="198">
        <f>IF(B23&lt;=$C$2,1,IF(B23=$C$2+1,PRODUCT($D$5:D23),E22*D23))</f>
        <v>0.66983274809444293</v>
      </c>
      <c r="F23" s="10">
        <f t="shared" si="0"/>
        <v>0.47464242404934376</v>
      </c>
      <c r="G23" s="10">
        <f t="shared" si="5"/>
        <v>0.31793103926317984</v>
      </c>
      <c r="I23" s="13">
        <f t="shared" si="1"/>
        <v>3349.1637404722146</v>
      </c>
      <c r="J23" s="11">
        <f>(SUM(G24:$G$79)*$I$1)</f>
        <v>10006.93508421096</v>
      </c>
      <c r="K23" s="11">
        <f t="shared" si="6"/>
        <v>-1589.6551963159018</v>
      </c>
      <c r="Q23" s="65">
        <v>19</v>
      </c>
      <c r="R23" s="66">
        <f>Inputs!H26</f>
        <v>3.8699999999999997E-4</v>
      </c>
    </row>
    <row r="24" spans="1:18" x14ac:dyDescent="0.25">
      <c r="A24">
        <f t="shared" si="2"/>
        <v>84</v>
      </c>
      <c r="B24">
        <v>20</v>
      </c>
      <c r="C24" s="12">
        <f t="shared" si="3"/>
        <v>5.3233000000000003E-2</v>
      </c>
      <c r="D24" s="10">
        <f t="shared" si="4"/>
        <v>0.94676700000000003</v>
      </c>
      <c r="E24" s="198">
        <f>IF(B24&lt;=$C$2,1,IF(B24=$C$2+1,PRODUCT($D$5:D24),E23*D24))</f>
        <v>0.63417554141513144</v>
      </c>
      <c r="F24" s="10">
        <f t="shared" si="0"/>
        <v>0.45638694620129205</v>
      </c>
      <c r="G24" s="10">
        <f t="shared" si="5"/>
        <v>0.28942943870200283</v>
      </c>
      <c r="I24" s="13">
        <f t="shared" si="1"/>
        <v>3170.8777070756573</v>
      </c>
      <c r="J24" s="11">
        <f>(SUM(G25:$G$79)*$I$1)</f>
        <v>8559.7878907009472</v>
      </c>
      <c r="K24" s="11">
        <f t="shared" si="6"/>
        <v>-1447.1471935100126</v>
      </c>
      <c r="Q24" s="65">
        <v>20</v>
      </c>
      <c r="R24" s="66">
        <f>Inputs!H27</f>
        <v>4.1399999999999998E-4</v>
      </c>
    </row>
    <row r="25" spans="1:18" x14ac:dyDescent="0.25">
      <c r="A25">
        <f t="shared" si="2"/>
        <v>85</v>
      </c>
      <c r="B25">
        <v>21</v>
      </c>
      <c r="C25" s="12">
        <f t="shared" si="3"/>
        <v>5.9854999999999998E-2</v>
      </c>
      <c r="D25" s="10">
        <f t="shared" si="4"/>
        <v>0.94014500000000001</v>
      </c>
      <c r="E25" s="198">
        <f>IF(B25&lt;=$C$2,1,IF(B25=$C$2+1,PRODUCT($D$5:D25),E24*D25))</f>
        <v>0.59621696438372873</v>
      </c>
      <c r="F25" s="10">
        <f t="shared" si="0"/>
        <v>0.43883360211662686</v>
      </c>
      <c r="G25" s="10">
        <f t="shared" si="5"/>
        <v>0.2616400381235523</v>
      </c>
      <c r="I25" s="13">
        <f t="shared" si="1"/>
        <v>2981.0848219186437</v>
      </c>
      <c r="J25" s="11">
        <f>(SUM(G26:$G$79)*$I$1)</f>
        <v>7251.5877000831861</v>
      </c>
      <c r="K25" s="11">
        <f t="shared" si="6"/>
        <v>-1308.2001906177611</v>
      </c>
      <c r="Q25" s="65">
        <v>21</v>
      </c>
      <c r="R25" s="66">
        <f>Inputs!H28</f>
        <v>4.4299999999999998E-4</v>
      </c>
    </row>
    <row r="26" spans="1:18" x14ac:dyDescent="0.25">
      <c r="A26">
        <f t="shared" si="2"/>
        <v>86</v>
      </c>
      <c r="B26">
        <v>22</v>
      </c>
      <c r="C26" s="12">
        <f t="shared" si="3"/>
        <v>6.7514000000000005E-2</v>
      </c>
      <c r="D26" s="10">
        <f t="shared" si="4"/>
        <v>0.93248600000000004</v>
      </c>
      <c r="E26" s="198">
        <f>IF(B26&lt;=$C$2,1,IF(B26=$C$2+1,PRODUCT($D$5:D26),E25*D26))</f>
        <v>0.55596397225032568</v>
      </c>
      <c r="F26" s="10">
        <f t="shared" si="0"/>
        <v>0.42195538665060278</v>
      </c>
      <c r="G26" s="10">
        <f t="shared" si="5"/>
        <v>0.23459199287469118</v>
      </c>
      <c r="I26" s="13">
        <f t="shared" si="1"/>
        <v>2779.8198612516285</v>
      </c>
      <c r="J26" s="11">
        <f>(SUM(G27:$G$79)*$I$1)</f>
        <v>6078.6277357097297</v>
      </c>
      <c r="K26" s="11">
        <f t="shared" si="6"/>
        <v>-1172.9599643734564</v>
      </c>
      <c r="Q26" s="65">
        <v>22</v>
      </c>
      <c r="R26" s="66">
        <f>Inputs!H29</f>
        <v>4.73E-4</v>
      </c>
    </row>
    <row r="27" spans="1:18" x14ac:dyDescent="0.25">
      <c r="A27">
        <f t="shared" si="2"/>
        <v>87</v>
      </c>
      <c r="B27">
        <v>23</v>
      </c>
      <c r="C27" s="12">
        <f t="shared" si="3"/>
        <v>7.6340000000000005E-2</v>
      </c>
      <c r="D27" s="10">
        <f t="shared" si="4"/>
        <v>0.92366000000000004</v>
      </c>
      <c r="E27" s="198">
        <f>IF(B27&lt;=$C$2,1,IF(B27=$C$2+1,PRODUCT($D$5:D27),E26*D27))</f>
        <v>0.51352168260873587</v>
      </c>
      <c r="F27" s="10">
        <f t="shared" si="0"/>
        <v>0.40572633331788732</v>
      </c>
      <c r="G27" s="10">
        <f t="shared" si="5"/>
        <v>0.2083492693640743</v>
      </c>
      <c r="I27" s="13">
        <f t="shared" si="1"/>
        <v>2567.6084130436793</v>
      </c>
      <c r="J27" s="11">
        <f>(SUM(G28:$G$79)*$I$1)</f>
        <v>5036.8813888893592</v>
      </c>
      <c r="K27" s="11">
        <f t="shared" si="6"/>
        <v>-1041.7463468203705</v>
      </c>
      <c r="Q27" s="65">
        <v>23</v>
      </c>
      <c r="R27" s="66">
        <f>Inputs!H30</f>
        <v>5.13E-4</v>
      </c>
    </row>
    <row r="28" spans="1:18" x14ac:dyDescent="0.25">
      <c r="A28">
        <f t="shared" si="2"/>
        <v>88</v>
      </c>
      <c r="B28">
        <v>24</v>
      </c>
      <c r="C28" s="12">
        <f t="shared" si="3"/>
        <v>8.6388000000000006E-2</v>
      </c>
      <c r="D28" s="10">
        <f t="shared" si="4"/>
        <v>0.91361199999999998</v>
      </c>
      <c r="E28" s="198">
        <f>IF(B28&lt;=$C$2,1,IF(B28=$C$2+1,PRODUCT($D$5:D28),E27*D28))</f>
        <v>0.46915957149153237</v>
      </c>
      <c r="F28" s="10">
        <f t="shared" si="0"/>
        <v>0.39012147434412242</v>
      </c>
      <c r="G28" s="10">
        <f t="shared" si="5"/>
        <v>0.18302922373293332</v>
      </c>
      <c r="I28" s="13">
        <f t="shared" si="1"/>
        <v>2345.7978574576618</v>
      </c>
      <c r="J28" s="11">
        <f>(SUM(G29:$G$79)*$I$1)</f>
        <v>4121.7352702246953</v>
      </c>
      <c r="K28" s="11">
        <f t="shared" si="6"/>
        <v>-915.14611866466385</v>
      </c>
      <c r="Q28" s="65">
        <v>24</v>
      </c>
      <c r="R28" s="66">
        <f>Inputs!H31</f>
        <v>5.5400000000000002E-4</v>
      </c>
    </row>
    <row r="29" spans="1:18" x14ac:dyDescent="0.25">
      <c r="A29">
        <f t="shared" si="2"/>
        <v>89</v>
      </c>
      <c r="B29">
        <v>25</v>
      </c>
      <c r="C29" s="12">
        <f t="shared" si="3"/>
        <v>9.7633999999999999E-2</v>
      </c>
      <c r="D29" s="10">
        <f t="shared" si="4"/>
        <v>0.902366</v>
      </c>
      <c r="E29" s="198">
        <f>IF(B29&lt;=$C$2,1,IF(B29=$C$2+1,PRODUCT($D$5:D29),E28*D29))</f>
        <v>0.42335364588852809</v>
      </c>
      <c r="F29" s="10">
        <f t="shared" si="0"/>
        <v>0.37511680225396377</v>
      </c>
      <c r="G29" s="10">
        <f t="shared" si="5"/>
        <v>0.1588070658682616</v>
      </c>
      <c r="I29" s="13">
        <f t="shared" si="1"/>
        <v>2116.7682294426404</v>
      </c>
      <c r="J29" s="11">
        <f>(SUM(G30:$G$79)*$I$1)</f>
        <v>3327.6999408833867</v>
      </c>
      <c r="K29" s="11">
        <f t="shared" si="6"/>
        <v>-794.03532934130862</v>
      </c>
      <c r="Q29" s="65">
        <v>25</v>
      </c>
      <c r="R29" s="66">
        <f>Inputs!H32</f>
        <v>6.02E-4</v>
      </c>
    </row>
    <row r="30" spans="1:18" x14ac:dyDescent="0.25">
      <c r="A30">
        <f t="shared" si="2"/>
        <v>90</v>
      </c>
      <c r="B30">
        <v>26</v>
      </c>
      <c r="C30" s="12">
        <f t="shared" si="3"/>
        <v>0.10999299999999999</v>
      </c>
      <c r="D30" s="10">
        <f t="shared" si="4"/>
        <v>0.89000699999999999</v>
      </c>
      <c r="E30" s="198">
        <f>IF(B30&lt;=$C$2,1,IF(B30=$C$2+1,PRODUCT($D$5:D30),E29*D30))</f>
        <v>0.3767877083163112</v>
      </c>
      <c r="F30" s="10">
        <f t="shared" si="0"/>
        <v>0.36068923293650368</v>
      </c>
      <c r="G30" s="10">
        <f t="shared" si="5"/>
        <v>0.13590326949251338</v>
      </c>
      <c r="I30" s="13">
        <f t="shared" si="1"/>
        <v>1883.9385415815559</v>
      </c>
      <c r="J30" s="11">
        <f>(SUM(G31:$G$79)*$I$1)</f>
        <v>2648.1835934208202</v>
      </c>
      <c r="K30" s="11">
        <f t="shared" si="6"/>
        <v>-679.5163474625665</v>
      </c>
      <c r="Q30" s="65">
        <v>26</v>
      </c>
      <c r="R30" s="66">
        <f>Inputs!H33</f>
        <v>6.5499999999999998E-4</v>
      </c>
    </row>
    <row r="31" spans="1:18" x14ac:dyDescent="0.25">
      <c r="A31">
        <f t="shared" si="2"/>
        <v>91</v>
      </c>
      <c r="B31">
        <v>27</v>
      </c>
      <c r="C31" s="12">
        <f t="shared" si="3"/>
        <v>0.12311900000000001</v>
      </c>
      <c r="D31" s="10">
        <f t="shared" si="4"/>
        <v>0.87688100000000002</v>
      </c>
      <c r="E31" s="198">
        <f>IF(B31&lt;=$C$2,1,IF(B31=$C$2+1,PRODUCT($D$5:D31),E30*D31))</f>
        <v>0.33039798245611529</v>
      </c>
      <c r="F31" s="10">
        <f t="shared" si="0"/>
        <v>0.3468165701312535</v>
      </c>
      <c r="G31" s="10">
        <f t="shared" si="5"/>
        <v>0.11458749505371597</v>
      </c>
      <c r="I31" s="13">
        <f t="shared" si="1"/>
        <v>1651.9899122805764</v>
      </c>
      <c r="J31" s="11">
        <f>(SUM(G32:$G$79)*$I$1)</f>
        <v>2075.2461181522399</v>
      </c>
      <c r="K31" s="11">
        <f t="shared" si="6"/>
        <v>-572.93747526858033</v>
      </c>
      <c r="Q31" s="65">
        <v>27</v>
      </c>
      <c r="R31" s="66">
        <f>Inputs!H34</f>
        <v>6.8800000000000003E-4</v>
      </c>
    </row>
    <row r="32" spans="1:18" x14ac:dyDescent="0.25">
      <c r="A32">
        <f t="shared" si="2"/>
        <v>92</v>
      </c>
      <c r="B32">
        <v>28</v>
      </c>
      <c r="C32" s="12">
        <f t="shared" si="3"/>
        <v>0.13716800000000001</v>
      </c>
      <c r="D32" s="10">
        <f t="shared" si="4"/>
        <v>0.86283200000000004</v>
      </c>
      <c r="E32" s="198">
        <f>IF(B32&lt;=$C$2,1,IF(B32=$C$2+1,PRODUCT($D$5:D32),E31*D32))</f>
        <v>0.28507795199857489</v>
      </c>
      <c r="F32" s="10">
        <f t="shared" si="0"/>
        <v>0.3334774712800514</v>
      </c>
      <c r="G32" s="10">
        <f t="shared" si="5"/>
        <v>9.5067074550180625E-2</v>
      </c>
      <c r="I32" s="13">
        <f t="shared" si="1"/>
        <v>1425.3897599928744</v>
      </c>
      <c r="J32" s="11">
        <f>(SUM(G33:$G$79)*$I$1)</f>
        <v>1599.9107454013367</v>
      </c>
      <c r="K32" s="11">
        <f t="shared" si="6"/>
        <v>-475.33537275090316</v>
      </c>
      <c r="Q32" s="65">
        <v>28</v>
      </c>
      <c r="R32" s="66">
        <f>Inputs!H35</f>
        <v>7.1000000000000002E-4</v>
      </c>
    </row>
    <row r="33" spans="1:18" x14ac:dyDescent="0.25">
      <c r="A33">
        <f t="shared" si="2"/>
        <v>93</v>
      </c>
      <c r="B33">
        <v>29</v>
      </c>
      <c r="C33" s="12">
        <f t="shared" si="3"/>
        <v>0.152171</v>
      </c>
      <c r="D33" s="10">
        <f t="shared" si="4"/>
        <v>0.84782899999999994</v>
      </c>
      <c r="E33" s="198">
        <f>IF(B33&lt;=$C$2,1,IF(B33=$C$2+1,PRODUCT($D$5:D33),E32*D33))</f>
        <v>0.24169735496499972</v>
      </c>
      <c r="F33" s="10">
        <f t="shared" si="0"/>
        <v>0.32065141469235708</v>
      </c>
      <c r="G33" s="10">
        <f t="shared" si="5"/>
        <v>7.7500598796927958E-2</v>
      </c>
      <c r="I33" s="13">
        <f t="shared" si="1"/>
        <v>1208.4867748249985</v>
      </c>
      <c r="J33" s="11">
        <f>(SUM(G34:$G$79)*$I$1)</f>
        <v>1212.4077514166963</v>
      </c>
      <c r="K33" s="11">
        <f t="shared" si="6"/>
        <v>-387.5029939846404</v>
      </c>
      <c r="Q33" s="65">
        <v>29</v>
      </c>
      <c r="R33" s="66">
        <f>Inputs!H36</f>
        <v>7.27E-4</v>
      </c>
    </row>
    <row r="34" spans="1:18" x14ac:dyDescent="0.25">
      <c r="A34">
        <f t="shared" si="2"/>
        <v>94</v>
      </c>
      <c r="B34">
        <v>30</v>
      </c>
      <c r="C34" s="12">
        <f t="shared" si="3"/>
        <v>0.16819400000000001</v>
      </c>
      <c r="D34" s="10">
        <f t="shared" si="4"/>
        <v>0.83180600000000005</v>
      </c>
      <c r="E34" s="198">
        <f>IF(B34&lt;=$C$2,1,IF(B34=$C$2+1,PRODUCT($D$5:D34),E33*D34))</f>
        <v>0.20104531004401657</v>
      </c>
      <c r="F34" s="10">
        <f t="shared" si="0"/>
        <v>0.30831866797342034</v>
      </c>
      <c r="G34" s="10">
        <f t="shared" si="5"/>
        <v>6.1986022195074493E-2</v>
      </c>
      <c r="I34" s="13">
        <f t="shared" si="1"/>
        <v>1005.2265502200829</v>
      </c>
      <c r="J34" s="11">
        <f>(SUM(G35:$G$79)*$I$1)</f>
        <v>902.47764044132396</v>
      </c>
      <c r="K34" s="11">
        <f t="shared" si="6"/>
        <v>-309.93011097537237</v>
      </c>
      <c r="Q34" s="65">
        <v>30</v>
      </c>
      <c r="R34" s="66">
        <f>Inputs!H37</f>
        <v>7.4100000000000001E-4</v>
      </c>
    </row>
    <row r="35" spans="1:18" x14ac:dyDescent="0.25">
      <c r="A35">
        <f t="shared" si="2"/>
        <v>95</v>
      </c>
      <c r="B35">
        <v>31</v>
      </c>
      <c r="C35" s="12">
        <f t="shared" si="3"/>
        <v>0.18526000000000001</v>
      </c>
      <c r="D35" s="10">
        <f t="shared" si="4"/>
        <v>0.81474000000000002</v>
      </c>
      <c r="E35" s="198">
        <f>IF(B35&lt;=$C$2,1,IF(B35=$C$2+1,PRODUCT($D$5:D35),E34*D35))</f>
        <v>0.16379965590526208</v>
      </c>
      <c r="F35" s="10">
        <f t="shared" si="0"/>
        <v>0.29646025766675027</v>
      </c>
      <c r="G35" s="10">
        <f t="shared" si="5"/>
        <v>4.8560088195399025E-2</v>
      </c>
      <c r="I35" s="13">
        <f t="shared" si="1"/>
        <v>818.9982795263104</v>
      </c>
      <c r="J35" s="11">
        <f>(SUM(G36:$G$79)*$I$1)</f>
        <v>659.67719946432874</v>
      </c>
      <c r="K35" s="11">
        <f t="shared" si="6"/>
        <v>-242.80044097699522</v>
      </c>
      <c r="Q35" s="65">
        <v>31</v>
      </c>
      <c r="R35" s="66">
        <f>Inputs!H38</f>
        <v>7.5100000000000004E-4</v>
      </c>
    </row>
    <row r="36" spans="1:18" x14ac:dyDescent="0.25">
      <c r="A36">
        <f t="shared" si="2"/>
        <v>96</v>
      </c>
      <c r="B36">
        <v>32</v>
      </c>
      <c r="C36" s="12">
        <f t="shared" si="3"/>
        <v>0.197322</v>
      </c>
      <c r="D36" s="10">
        <f t="shared" si="4"/>
        <v>0.802678</v>
      </c>
      <c r="E36" s="198">
        <f>IF(B36&lt;=$C$2,1,IF(B36=$C$2+1,PRODUCT($D$5:D36),E35*D36))</f>
        <v>0.13147838020272395</v>
      </c>
      <c r="F36" s="10">
        <f t="shared" si="0"/>
        <v>0.28505794006418295</v>
      </c>
      <c r="G36" s="10">
        <f t="shared" si="5"/>
        <v>3.7478956223563946E-2</v>
      </c>
      <c r="I36" s="13">
        <f t="shared" si="1"/>
        <v>657.39190101361976</v>
      </c>
      <c r="J36" s="11">
        <f>(SUM(G37:$G$79)*$I$1)</f>
        <v>472.28241834650879</v>
      </c>
      <c r="K36" s="11">
        <f t="shared" si="6"/>
        <v>-187.39478111781995</v>
      </c>
      <c r="Q36" s="65">
        <v>32</v>
      </c>
      <c r="R36" s="66">
        <f>Inputs!H39</f>
        <v>7.54E-4</v>
      </c>
    </row>
    <row r="37" spans="1:18" x14ac:dyDescent="0.25">
      <c r="A37">
        <f t="shared" si="2"/>
        <v>97</v>
      </c>
      <c r="B37">
        <v>33</v>
      </c>
      <c r="C37" s="12">
        <f t="shared" si="3"/>
        <v>0.214751</v>
      </c>
      <c r="D37" s="10">
        <f t="shared" si="4"/>
        <v>0.78524899999999997</v>
      </c>
      <c r="E37" s="198">
        <f>IF(B37&lt;=$C$2,1,IF(B37=$C$2+1,PRODUCT($D$5:D37),E36*D37))</f>
        <v>0.10324326657580878</v>
      </c>
      <c r="F37" s="10">
        <f t="shared" si="0"/>
        <v>0.27409417313863743</v>
      </c>
      <c r="G37" s="10">
        <f t="shared" si="5"/>
        <v>2.8298377784228231E-2</v>
      </c>
      <c r="I37" s="13">
        <f t="shared" si="1"/>
        <v>516.21633287904388</v>
      </c>
      <c r="J37" s="11">
        <f>(SUM(G38:$G$79)*$I$1)</f>
        <v>330.79052942536771</v>
      </c>
      <c r="K37" s="11">
        <f t="shared" si="6"/>
        <v>-141.49188892114108</v>
      </c>
      <c r="Q37" s="65">
        <v>33</v>
      </c>
      <c r="R37" s="66">
        <f>Inputs!H40</f>
        <v>7.5600000000000005E-4</v>
      </c>
    </row>
    <row r="38" spans="1:18" x14ac:dyDescent="0.25">
      <c r="A38">
        <f t="shared" si="2"/>
        <v>98</v>
      </c>
      <c r="B38">
        <v>34</v>
      </c>
      <c r="C38" s="12">
        <f t="shared" si="3"/>
        <v>0.23250699999999999</v>
      </c>
      <c r="D38" s="10">
        <f t="shared" si="4"/>
        <v>0.76749299999999998</v>
      </c>
      <c r="E38" s="198">
        <f>IF(B38&lt;=$C$2,1,IF(B38=$C$2+1,PRODUCT($D$5:D38),E37*D38))</f>
        <v>7.9238484394067207E-2</v>
      </c>
      <c r="F38" s="10">
        <f t="shared" si="0"/>
        <v>0.26355208955638215</v>
      </c>
      <c r="G38" s="10">
        <f t="shared" si="5"/>
        <v>2.0883468135337192E-2</v>
      </c>
      <c r="I38" s="13">
        <f t="shared" si="1"/>
        <v>396.19242197033606</v>
      </c>
      <c r="J38" s="11">
        <f>(SUM(G39:$G$79)*$I$1)</f>
        <v>226.37318874868191</v>
      </c>
      <c r="K38" s="11">
        <f t="shared" si="6"/>
        <v>-104.4173406766858</v>
      </c>
      <c r="Q38" s="65">
        <v>34</v>
      </c>
      <c r="R38" s="66">
        <f>Inputs!H41</f>
        <v>7.5600000000000005E-4</v>
      </c>
    </row>
    <row r="39" spans="1:18" x14ac:dyDescent="0.25">
      <c r="A39">
        <f t="shared" si="2"/>
        <v>99</v>
      </c>
      <c r="B39">
        <v>35</v>
      </c>
      <c r="C39" s="12">
        <f t="shared" si="3"/>
        <v>0.25039699999999998</v>
      </c>
      <c r="D39" s="10">
        <f t="shared" si="4"/>
        <v>0.74960300000000002</v>
      </c>
      <c r="E39" s="198">
        <f>IF(B39&lt;=$C$2,1,IF(B39=$C$2+1,PRODUCT($D$5:D39),E38*D39))</f>
        <v>5.9397405617245963E-2</v>
      </c>
      <c r="F39" s="10">
        <f t="shared" si="0"/>
        <v>0.25341547072729048</v>
      </c>
      <c r="G39" s="10">
        <f t="shared" si="5"/>
        <v>1.5052221504474194E-2</v>
      </c>
      <c r="I39" s="13">
        <f t="shared" si="1"/>
        <v>296.98702808622983</v>
      </c>
      <c r="J39" s="11">
        <f>(SUM(G40:$G$79)*$I$1)</f>
        <v>151.11208122631095</v>
      </c>
      <c r="K39" s="11">
        <f t="shared" si="6"/>
        <v>-75.261107522370963</v>
      </c>
      <c r="Q39" s="65">
        <v>35</v>
      </c>
      <c r="R39" s="66">
        <f>Inputs!H42</f>
        <v>7.5600000000000005E-4</v>
      </c>
    </row>
    <row r="40" spans="1:18" x14ac:dyDescent="0.25">
      <c r="A40">
        <f t="shared" si="2"/>
        <v>100</v>
      </c>
      <c r="B40">
        <v>36</v>
      </c>
      <c r="C40" s="12">
        <f t="shared" si="3"/>
        <v>0.26860699999999998</v>
      </c>
      <c r="D40" s="10">
        <f t="shared" si="4"/>
        <v>0.73139299999999996</v>
      </c>
      <c r="E40" s="198">
        <f>IF(B40&lt;=$C$2,1,IF(B40=$C$2+1,PRODUCT($D$5:D40),E39*D40))</f>
        <v>4.3442846686614377E-2</v>
      </c>
      <c r="F40" s="10">
        <f t="shared" si="0"/>
        <v>0.24366872185316396</v>
      </c>
      <c r="G40" s="10">
        <f t="shared" si="5"/>
        <v>1.0585662925790284E-2</v>
      </c>
      <c r="I40" s="13">
        <f t="shared" si="1"/>
        <v>217.21423343307188</v>
      </c>
      <c r="J40" s="11">
        <f>(SUM(G41:$G$79)*$I$1)</f>
        <v>98.183766597359522</v>
      </c>
      <c r="K40" s="11">
        <f t="shared" si="6"/>
        <v>-52.928314628951426</v>
      </c>
      <c r="Q40" s="65">
        <v>36</v>
      </c>
      <c r="R40" s="66">
        <f>Inputs!H43</f>
        <v>7.5600000000000005E-4</v>
      </c>
    </row>
    <row r="41" spans="1:18" x14ac:dyDescent="0.25">
      <c r="A41">
        <f t="shared" si="2"/>
        <v>101</v>
      </c>
      <c r="B41">
        <v>37</v>
      </c>
      <c r="C41" s="12">
        <f t="shared" si="3"/>
        <v>0.290016</v>
      </c>
      <c r="D41" s="10">
        <f t="shared" si="4"/>
        <v>0.70998399999999995</v>
      </c>
      <c r="E41" s="198">
        <f>IF(B41&lt;=$C$2,1,IF(B41=$C$2+1,PRODUCT($D$5:D41),E40*D41))</f>
        <v>3.0843726061949218E-2</v>
      </c>
      <c r="F41" s="10">
        <f t="shared" si="0"/>
        <v>0.23429684793573452</v>
      </c>
      <c r="G41" s="10">
        <f t="shared" si="5"/>
        <v>7.226587794907968E-3</v>
      </c>
      <c r="I41" s="13">
        <f t="shared" si="1"/>
        <v>154.21863030974609</v>
      </c>
      <c r="J41" s="11">
        <f>(SUM(G42:$G$79)*$I$1)</f>
        <v>62.050827622819654</v>
      </c>
      <c r="K41" s="11">
        <f t="shared" si="6"/>
        <v>-36.132938974539869</v>
      </c>
      <c r="Q41" s="65">
        <v>37</v>
      </c>
      <c r="R41" s="66">
        <f>Inputs!H44</f>
        <v>7.5600000000000005E-4</v>
      </c>
    </row>
    <row r="42" spans="1:18" x14ac:dyDescent="0.25">
      <c r="A42">
        <f t="shared" si="2"/>
        <v>102</v>
      </c>
      <c r="B42">
        <v>38</v>
      </c>
      <c r="C42" s="12">
        <f t="shared" si="3"/>
        <v>0.31184899999999999</v>
      </c>
      <c r="D42" s="10">
        <f t="shared" si="4"/>
        <v>0.68815099999999996</v>
      </c>
      <c r="E42" s="198">
        <f>IF(B42&lt;=$C$2,1,IF(B42=$C$2+1,PRODUCT($D$5:D42),E41*D42))</f>
        <v>2.1225140933256417E-2</v>
      </c>
      <c r="F42" s="10">
        <f t="shared" si="0"/>
        <v>0.22528543070743706</v>
      </c>
      <c r="G42" s="10">
        <f t="shared" si="5"/>
        <v>4.7817150169747243E-3</v>
      </c>
      <c r="I42" s="13">
        <f t="shared" si="1"/>
        <v>106.12570466628209</v>
      </c>
      <c r="J42" s="11">
        <f>(SUM(G43:$G$79)*$I$1)</f>
        <v>38.142252537946042</v>
      </c>
      <c r="K42" s="11">
        <f t="shared" si="6"/>
        <v>-23.908575084873611</v>
      </c>
      <c r="Q42" s="65">
        <v>38</v>
      </c>
      <c r="R42" s="66">
        <f>Inputs!H45</f>
        <v>7.5600000000000005E-4</v>
      </c>
    </row>
    <row r="43" spans="1:18" x14ac:dyDescent="0.25">
      <c r="A43">
        <f t="shared" si="2"/>
        <v>103</v>
      </c>
      <c r="B43">
        <v>39</v>
      </c>
      <c r="C43" s="12">
        <f t="shared" si="3"/>
        <v>0.33396199999999998</v>
      </c>
      <c r="D43" s="10">
        <f t="shared" si="4"/>
        <v>0.66603800000000002</v>
      </c>
      <c r="E43" s="198">
        <f>IF(B43&lt;=$C$2,1,IF(B43=$C$2+1,PRODUCT($D$5:D43),E42*D43))</f>
        <v>1.4136750416904237E-2</v>
      </c>
      <c r="F43" s="10">
        <f t="shared" si="0"/>
        <v>0.21662060644945874</v>
      </c>
      <c r="G43" s="10">
        <f t="shared" si="5"/>
        <v>3.0623114485344343E-3</v>
      </c>
      <c r="I43" s="13">
        <f t="shared" si="1"/>
        <v>70.683752084521188</v>
      </c>
      <c r="J43" s="11">
        <f>(SUM(G44:$G$79)*$I$1)</f>
        <v>22.830695295273866</v>
      </c>
      <c r="K43" s="11">
        <f t="shared" si="6"/>
        <v>-15.311557242672176</v>
      </c>
      <c r="Q43" s="65">
        <v>39</v>
      </c>
      <c r="R43" s="66">
        <f>Inputs!H46</f>
        <v>8.0000000000000004E-4</v>
      </c>
    </row>
    <row r="44" spans="1:18" x14ac:dyDescent="0.25">
      <c r="A44">
        <f t="shared" si="2"/>
        <v>104</v>
      </c>
      <c r="B44">
        <v>40</v>
      </c>
      <c r="C44" s="12">
        <f t="shared" si="3"/>
        <v>0.356207</v>
      </c>
      <c r="D44" s="10">
        <f t="shared" si="4"/>
        <v>0.64379300000000006</v>
      </c>
      <c r="E44" s="198">
        <f>IF(B44&lt;=$C$2,1,IF(B44=$C$2+1,PRODUCT($D$5:D44),E43*D44))</f>
        <v>9.10114096115003E-3</v>
      </c>
      <c r="F44" s="10">
        <f t="shared" si="0"/>
        <v>0.20828904466294101</v>
      </c>
      <c r="G44" s="10">
        <f t="shared" si="5"/>
        <v>1.8956679561407004E-3</v>
      </c>
      <c r="I44" s="13">
        <f t="shared" si="1"/>
        <v>45.505704805750149</v>
      </c>
      <c r="J44" s="11">
        <f>(SUM(G45:$G$79)*$I$1)</f>
        <v>13.352355514570364</v>
      </c>
      <c r="K44" s="11">
        <f t="shared" si="6"/>
        <v>-9.4783397807035019</v>
      </c>
      <c r="Q44" s="65">
        <v>40</v>
      </c>
      <c r="R44" s="66">
        <f>Inputs!H47</f>
        <v>8.5899999999999995E-4</v>
      </c>
    </row>
    <row r="45" spans="1:18" x14ac:dyDescent="0.25">
      <c r="A45">
        <f t="shared" si="2"/>
        <v>105</v>
      </c>
      <c r="B45">
        <v>41</v>
      </c>
      <c r="C45" s="12">
        <f t="shared" si="3"/>
        <v>0.38</v>
      </c>
      <c r="D45" s="10">
        <f t="shared" si="4"/>
        <v>0.62</v>
      </c>
      <c r="E45" s="198">
        <f>IF(B45&lt;=$C$2,1,IF(B45=$C$2+1,PRODUCT($D$5:D45),E44*D45))</f>
        <v>5.6427073959130188E-3</v>
      </c>
      <c r="F45" s="10">
        <f t="shared" si="0"/>
        <v>0.20027792756052021</v>
      </c>
      <c r="G45" s="10">
        <f t="shared" si="5"/>
        <v>1.1301097430838792E-3</v>
      </c>
      <c r="I45" s="13">
        <f t="shared" si="1"/>
        <v>28.213536979565095</v>
      </c>
      <c r="J45" s="11">
        <f>(SUM(G46:$G$79)*$I$1)</f>
        <v>7.7018067991509671</v>
      </c>
      <c r="K45" s="11">
        <f t="shared" si="6"/>
        <v>-5.6505487154193972</v>
      </c>
      <c r="Q45" s="65">
        <v>41</v>
      </c>
      <c r="R45" s="66">
        <f>Inputs!H48</f>
        <v>9.2599999999999996E-4</v>
      </c>
    </row>
    <row r="46" spans="1:18" x14ac:dyDescent="0.25">
      <c r="A46">
        <f t="shared" si="2"/>
        <v>106</v>
      </c>
      <c r="B46">
        <v>42</v>
      </c>
      <c r="C46" s="12">
        <f t="shared" si="3"/>
        <v>0.4</v>
      </c>
      <c r="D46" s="10">
        <f t="shared" si="4"/>
        <v>0.6</v>
      </c>
      <c r="E46" s="198">
        <f>IF(B46&lt;=$C$2,1,IF(B46=$C$2+1,PRODUCT($D$5:D46),E45*D46))</f>
        <v>3.3856244375478112E-3</v>
      </c>
      <c r="F46" s="10">
        <f t="shared" si="0"/>
        <v>0.19257493034665407</v>
      </c>
      <c r="G46" s="10">
        <f t="shared" si="5"/>
        <v>6.5198639024069958E-4</v>
      </c>
      <c r="I46" s="13">
        <f t="shared" si="1"/>
        <v>16.928122187739056</v>
      </c>
      <c r="J46" s="11">
        <f>(SUM(G47:$G$79)*$I$1)</f>
        <v>4.4418748479474699</v>
      </c>
      <c r="K46" s="11">
        <f t="shared" si="6"/>
        <v>-3.2599319512034972</v>
      </c>
      <c r="Q46" s="65">
        <v>42</v>
      </c>
      <c r="R46" s="66">
        <f>Inputs!H49</f>
        <v>9.990000000000001E-4</v>
      </c>
    </row>
    <row r="47" spans="1:18" x14ac:dyDescent="0.25">
      <c r="A47">
        <f t="shared" si="2"/>
        <v>107</v>
      </c>
      <c r="B47">
        <v>43</v>
      </c>
      <c r="C47" s="12">
        <f t="shared" si="3"/>
        <v>0.4</v>
      </c>
      <c r="D47" s="10">
        <f t="shared" si="4"/>
        <v>0.6</v>
      </c>
      <c r="E47" s="198">
        <f>IF(B47&lt;=$C$2,1,IF(B47=$C$2+1,PRODUCT($D$5:D47),E46*D47))</f>
        <v>2.0313746625286867E-3</v>
      </c>
      <c r="F47" s="10">
        <f t="shared" si="0"/>
        <v>0.18516820225639813</v>
      </c>
      <c r="G47" s="10">
        <f t="shared" si="5"/>
        <v>3.7614599436963436E-4</v>
      </c>
      <c r="I47" s="13">
        <f t="shared" si="1"/>
        <v>10.156873312643434</v>
      </c>
      <c r="J47" s="11">
        <f>(SUM(G48:$G$79)*$I$1)</f>
        <v>2.5611448760992981</v>
      </c>
      <c r="K47" s="11">
        <f t="shared" si="6"/>
        <v>-1.8807299718481718</v>
      </c>
      <c r="Q47" s="65">
        <v>43</v>
      </c>
      <c r="R47" s="66">
        <f>Inputs!H50</f>
        <v>1.0690000000000001E-3</v>
      </c>
    </row>
    <row r="48" spans="1:18" x14ac:dyDescent="0.25">
      <c r="A48">
        <f t="shared" si="2"/>
        <v>108</v>
      </c>
      <c r="B48">
        <v>44</v>
      </c>
      <c r="C48" s="12">
        <f t="shared" si="3"/>
        <v>0.4</v>
      </c>
      <c r="D48" s="10">
        <f t="shared" si="4"/>
        <v>0.6</v>
      </c>
      <c r="E48" s="198">
        <f>IF(B48&lt;=$C$2,1,IF(B48=$C$2+1,PRODUCT($D$5:D48),E47*D48))</f>
        <v>1.2188247975172121E-3</v>
      </c>
      <c r="F48" s="10">
        <f t="shared" si="0"/>
        <v>0.17804634832345972</v>
      </c>
      <c r="G48" s="10">
        <f t="shared" si="5"/>
        <v>2.1700730444401982E-4</v>
      </c>
      <c r="I48" s="13">
        <f t="shared" si="1"/>
        <v>6.0941239875860607</v>
      </c>
      <c r="J48" s="11">
        <f>(SUM(G49:$G$79)*$I$1)</f>
        <v>1.4761083538791986</v>
      </c>
      <c r="K48" s="11">
        <f t="shared" si="6"/>
        <v>-1.0850365222200995</v>
      </c>
      <c r="Q48" s="65">
        <v>44</v>
      </c>
      <c r="R48" s="66">
        <f>Inputs!H51</f>
        <v>1.142E-3</v>
      </c>
    </row>
    <row r="49" spans="1:18" x14ac:dyDescent="0.25">
      <c r="A49">
        <f t="shared" si="2"/>
        <v>109</v>
      </c>
      <c r="B49">
        <v>45</v>
      </c>
      <c r="C49" s="12">
        <f t="shared" si="3"/>
        <v>0.4</v>
      </c>
      <c r="D49" s="10">
        <f t="shared" si="4"/>
        <v>0.6</v>
      </c>
      <c r="E49" s="198">
        <f>IF(B49&lt;=$C$2,1,IF(B49=$C$2+1,PRODUCT($D$5:D49),E48*D49))</f>
        <v>7.3129487851032726E-4</v>
      </c>
      <c r="F49" s="10">
        <f t="shared" si="0"/>
        <v>0.17119841184948048</v>
      </c>
      <c r="G49" s="10">
        <f t="shared" si="5"/>
        <v>1.2519652179462679E-4</v>
      </c>
      <c r="I49" s="13">
        <f t="shared" si="1"/>
        <v>3.6564743925516363</v>
      </c>
      <c r="J49" s="11">
        <f>(SUM(G50:$G$79)*$I$1)</f>
        <v>0.85012574490606485</v>
      </c>
      <c r="K49" s="11">
        <f t="shared" si="6"/>
        <v>-0.62598260897313374</v>
      </c>
      <c r="Q49" s="65">
        <v>45</v>
      </c>
      <c r="R49" s="66">
        <f>Inputs!H52</f>
        <v>1.219E-3</v>
      </c>
    </row>
    <row r="50" spans="1:18" x14ac:dyDescent="0.25">
      <c r="A50">
        <f t="shared" si="2"/>
        <v>110</v>
      </c>
      <c r="B50">
        <v>46</v>
      </c>
      <c r="C50" s="12">
        <f t="shared" si="3"/>
        <v>0.4</v>
      </c>
      <c r="D50" s="10">
        <f t="shared" si="4"/>
        <v>0.6</v>
      </c>
      <c r="E50" s="198">
        <f>IF(B50&lt;=$C$2,1,IF(B50=$C$2+1,PRODUCT($D$5:D50),E49*D50))</f>
        <v>4.3877692710619633E-4</v>
      </c>
      <c r="F50" s="10">
        <f t="shared" si="0"/>
        <v>0.1646138575475774</v>
      </c>
      <c r="G50" s="10">
        <f t="shared" si="5"/>
        <v>7.2228762573823153E-5</v>
      </c>
      <c r="I50" s="13">
        <f t="shared" si="1"/>
        <v>2.1938846355309818</v>
      </c>
      <c r="J50" s="11">
        <f>(SUM(G51:$G$79)*$I$1)</f>
        <v>0.48898193203694912</v>
      </c>
      <c r="K50" s="11">
        <f t="shared" si="6"/>
        <v>-0.36114381286911573</v>
      </c>
      <c r="Q50" s="65">
        <v>46</v>
      </c>
      <c r="R50" s="66">
        <f>Inputs!H53</f>
        <v>1.3179999999999999E-3</v>
      </c>
    </row>
    <row r="51" spans="1:18" x14ac:dyDescent="0.25">
      <c r="A51">
        <f t="shared" si="2"/>
        <v>111</v>
      </c>
      <c r="B51">
        <v>47</v>
      </c>
      <c r="C51" s="12">
        <f t="shared" si="3"/>
        <v>0.4</v>
      </c>
      <c r="D51" s="10">
        <f t="shared" si="4"/>
        <v>0.6</v>
      </c>
      <c r="E51" s="198">
        <f>IF(B51&lt;=$C$2,1,IF(B51=$C$2+1,PRODUCT($D$5:D51),E50*D51))</f>
        <v>2.632661562637178E-4</v>
      </c>
      <c r="F51" s="10">
        <f t="shared" si="0"/>
        <v>0.15828255533420904</v>
      </c>
      <c r="G51" s="10">
        <f t="shared" si="5"/>
        <v>4.1670439946436438E-5</v>
      </c>
      <c r="I51" s="13">
        <f t="shared" si="1"/>
        <v>1.3163307813185889</v>
      </c>
      <c r="J51" s="11">
        <f>(SUM(G52:$G$79)*$I$1)</f>
        <v>0.2806297323047669</v>
      </c>
      <c r="K51" s="11">
        <f t="shared" si="6"/>
        <v>-0.20835219973218222</v>
      </c>
      <c r="Q51" s="65">
        <v>47</v>
      </c>
      <c r="R51" s="66">
        <f>Inputs!H54</f>
        <v>1.454E-3</v>
      </c>
    </row>
    <row r="52" spans="1:18" x14ac:dyDescent="0.25">
      <c r="A52">
        <f t="shared" si="2"/>
        <v>112</v>
      </c>
      <c r="B52">
        <v>48</v>
      </c>
      <c r="C52" s="12">
        <f t="shared" si="3"/>
        <v>0.4</v>
      </c>
      <c r="D52" s="10">
        <f t="shared" si="4"/>
        <v>0.6</v>
      </c>
      <c r="E52" s="198">
        <f>IF(B52&lt;=$C$2,1,IF(B52=$C$2+1,PRODUCT($D$5:D52),E51*D52))</f>
        <v>1.5795969375823068E-4</v>
      </c>
      <c r="F52" s="10">
        <f t="shared" si="0"/>
        <v>0.15219476474443175</v>
      </c>
      <c r="G52" s="10">
        <f t="shared" si="5"/>
        <v>2.4040638430636404E-5</v>
      </c>
      <c r="I52" s="13">
        <f t="shared" si="1"/>
        <v>0.78979846879115345</v>
      </c>
      <c r="J52" s="11">
        <f>(SUM(G53:$G$79)*$I$1)</f>
        <v>0.16042654015158486</v>
      </c>
      <c r="K52" s="11">
        <f t="shared" si="6"/>
        <v>-0.12020319215318204</v>
      </c>
      <c r="Q52" s="65">
        <v>48</v>
      </c>
      <c r="R52" s="66">
        <f>Inputs!H55</f>
        <v>1.627E-3</v>
      </c>
    </row>
    <row r="53" spans="1:18" x14ac:dyDescent="0.25">
      <c r="A53">
        <f t="shared" si="2"/>
        <v>113</v>
      </c>
      <c r="B53">
        <v>49</v>
      </c>
      <c r="C53" s="12">
        <f t="shared" si="3"/>
        <v>0.4</v>
      </c>
      <c r="D53" s="10">
        <f t="shared" si="4"/>
        <v>0.6</v>
      </c>
      <c r="E53" s="198">
        <f>IF(B53&lt;=$C$2,1,IF(B53=$C$2+1,PRODUCT($D$5:D53),E52*D53))</f>
        <v>9.477581625493841E-5</v>
      </c>
      <c r="F53" s="10">
        <f t="shared" si="0"/>
        <v>0.14634111994656898</v>
      </c>
      <c r="G53" s="10">
        <f t="shared" si="5"/>
        <v>1.3869599094597924E-5</v>
      </c>
      <c r="I53" s="13">
        <f t="shared" si="1"/>
        <v>0.47387908127469203</v>
      </c>
      <c r="J53" s="11">
        <f>(SUM(G54:$G$79)*$I$1)</f>
        <v>9.1078544678595275E-2</v>
      </c>
      <c r="K53" s="11">
        <f t="shared" si="6"/>
        <v>-6.9347995472989588E-2</v>
      </c>
      <c r="Q53" s="65">
        <v>49</v>
      </c>
      <c r="R53" s="66">
        <f>Inputs!H56</f>
        <v>1.8289999999999999E-3</v>
      </c>
    </row>
    <row r="54" spans="1:18" x14ac:dyDescent="0.25">
      <c r="A54">
        <f t="shared" si="2"/>
        <v>114</v>
      </c>
      <c r="B54">
        <v>50</v>
      </c>
      <c r="C54" s="12">
        <f t="shared" si="3"/>
        <v>0.4</v>
      </c>
      <c r="D54" s="10">
        <f t="shared" si="4"/>
        <v>0.6</v>
      </c>
      <c r="E54" s="198">
        <f>IF(B54&lt;=$C$2,1,IF(B54=$C$2+1,PRODUCT($D$5:D54),E53*D54))</f>
        <v>5.6865489752963043E-5</v>
      </c>
      <c r="F54" s="10">
        <f t="shared" si="0"/>
        <v>0.14071261533323939</v>
      </c>
      <c r="G54" s="10">
        <f t="shared" si="5"/>
        <v>8.0016917853449543E-6</v>
      </c>
      <c r="I54" s="13">
        <f t="shared" si="1"/>
        <v>0.28432744876481519</v>
      </c>
      <c r="J54" s="11">
        <f>(SUM(G55:$G$79)*$I$1)</f>
        <v>5.1070085751870505E-2</v>
      </c>
      <c r="K54" s="11">
        <f t="shared" si="6"/>
        <v>-4.000845892672477E-2</v>
      </c>
      <c r="Q54" s="65">
        <v>50</v>
      </c>
      <c r="R54" s="66">
        <f>Inputs!H57</f>
        <v>2.0569999999999998E-3</v>
      </c>
    </row>
    <row r="55" spans="1:18" x14ac:dyDescent="0.25">
      <c r="A55">
        <f t="shared" si="2"/>
        <v>115</v>
      </c>
      <c r="B55">
        <v>51</v>
      </c>
      <c r="C55" s="12">
        <f t="shared" si="3"/>
        <v>0.4</v>
      </c>
      <c r="D55" s="10">
        <f t="shared" si="4"/>
        <v>0.6</v>
      </c>
      <c r="E55" s="198">
        <f>IF(B55&lt;=$C$2,1,IF(B55=$C$2+1,PRODUCT($D$5:D55),E54*D55))</f>
        <v>3.4119293851777827E-5</v>
      </c>
      <c r="F55" s="10">
        <f t="shared" si="0"/>
        <v>0.13530059166657632</v>
      </c>
      <c r="G55" s="10">
        <f t="shared" si="5"/>
        <v>4.6163606453913197E-6</v>
      </c>
      <c r="I55" s="13">
        <f t="shared" si="1"/>
        <v>0.17059646925888913</v>
      </c>
      <c r="J55" s="11">
        <f>(SUM(G56:$G$79)*$I$1)</f>
        <v>2.7988282524913904E-2</v>
      </c>
      <c r="K55" s="11">
        <f t="shared" si="6"/>
        <v>-2.3081803226956601E-2</v>
      </c>
      <c r="Q55" s="65">
        <v>51</v>
      </c>
      <c r="R55" s="66">
        <f>Inputs!H58</f>
        <v>2.3019999999999998E-3</v>
      </c>
    </row>
    <row r="56" spans="1:18" x14ac:dyDescent="0.25">
      <c r="A56">
        <f t="shared" si="2"/>
        <v>116</v>
      </c>
      <c r="B56">
        <v>52</v>
      </c>
      <c r="C56" s="12">
        <f t="shared" si="3"/>
        <v>0.4</v>
      </c>
      <c r="D56" s="10">
        <f t="shared" si="4"/>
        <v>0.6</v>
      </c>
      <c r="E56" s="198">
        <f>IF(B56&lt;=$C$2,1,IF(B56=$C$2+1,PRODUCT($D$5:D56),E55*D56))</f>
        <v>2.0471576311066697E-5</v>
      </c>
      <c r="F56" s="10">
        <f t="shared" si="0"/>
        <v>0.13009672275632339</v>
      </c>
      <c r="G56" s="10">
        <f t="shared" si="5"/>
        <v>2.6632849877257618E-6</v>
      </c>
      <c r="I56" s="13">
        <f t="shared" si="1"/>
        <v>0.10235788155533349</v>
      </c>
      <c r="J56" s="11">
        <f>(SUM(G57:$G$79)*$I$1)</f>
        <v>1.4671857586285095E-2</v>
      </c>
      <c r="K56" s="11">
        <f t="shared" si="6"/>
        <v>-1.3316424938628809E-2</v>
      </c>
      <c r="Q56" s="65">
        <v>52</v>
      </c>
      <c r="R56" s="66">
        <f>Inputs!H59</f>
        <v>2.545E-3</v>
      </c>
    </row>
    <row r="57" spans="1:18" x14ac:dyDescent="0.25">
      <c r="A57">
        <f t="shared" si="2"/>
        <v>117</v>
      </c>
      <c r="B57">
        <v>53</v>
      </c>
      <c r="C57" s="12">
        <f t="shared" si="3"/>
        <v>0.4</v>
      </c>
      <c r="D57" s="10">
        <f t="shared" si="4"/>
        <v>0.6</v>
      </c>
      <c r="E57" s="198">
        <f>IF(B57&lt;=$C$2,1,IF(B57=$C$2+1,PRODUCT($D$5:D57),E56*D57))</f>
        <v>1.2282945786640019E-5</v>
      </c>
      <c r="F57" s="10">
        <f t="shared" si="0"/>
        <v>0.12509300265031092</v>
      </c>
      <c r="G57" s="10">
        <f t="shared" si="5"/>
        <v>1.5365105698417853E-6</v>
      </c>
      <c r="I57" s="13">
        <f t="shared" si="1"/>
        <v>6.1414728933200095E-2</v>
      </c>
      <c r="J57" s="11">
        <f>(SUM(G58:$G$79)*$I$1)</f>
        <v>6.9893047370761683E-3</v>
      </c>
      <c r="K57" s="11">
        <f t="shared" si="6"/>
        <v>-7.6825528492089267E-3</v>
      </c>
      <c r="Q57" s="65">
        <v>53</v>
      </c>
      <c r="R57" s="66">
        <f>Inputs!H60</f>
        <v>2.7789999999999998E-3</v>
      </c>
    </row>
    <row r="58" spans="1:18" x14ac:dyDescent="0.25">
      <c r="A58">
        <f t="shared" si="2"/>
        <v>118</v>
      </c>
      <c r="B58">
        <v>54</v>
      </c>
      <c r="C58" s="12">
        <f t="shared" si="3"/>
        <v>0.4</v>
      </c>
      <c r="D58" s="10">
        <f t="shared" si="4"/>
        <v>0.6</v>
      </c>
      <c r="E58" s="198">
        <f>IF(B58&lt;=$C$2,1,IF(B58=$C$2+1,PRODUCT($D$5:D58),E57*D58))</f>
        <v>7.3697674719840105E-6</v>
      </c>
      <c r="F58" s="10">
        <f t="shared" si="0"/>
        <v>0.12028173331760666</v>
      </c>
      <c r="G58" s="10">
        <f t="shared" si="5"/>
        <v>8.8644840567795303E-7</v>
      </c>
      <c r="I58" s="13">
        <f t="shared" si="1"/>
        <v>3.6848837359920054E-2</v>
      </c>
      <c r="J58" s="11">
        <f>(SUM(G59:$G$79)*$I$1)</f>
        <v>2.5570627086864031E-3</v>
      </c>
      <c r="K58" s="11">
        <f t="shared" si="6"/>
        <v>-4.4322420283897657E-3</v>
      </c>
      <c r="Q58" s="65">
        <v>54</v>
      </c>
      <c r="R58" s="66">
        <f>Inputs!H61</f>
        <v>3.0109999999999998E-3</v>
      </c>
    </row>
    <row r="59" spans="1:18" x14ac:dyDescent="0.25">
      <c r="A59">
        <f t="shared" si="2"/>
        <v>119</v>
      </c>
      <c r="B59">
        <v>55</v>
      </c>
      <c r="C59" s="12">
        <f t="shared" si="3"/>
        <v>0.4</v>
      </c>
      <c r="D59" s="10">
        <f t="shared" si="4"/>
        <v>0.6</v>
      </c>
      <c r="E59" s="198">
        <f>IF(B59&lt;=$C$2,1,IF(B59=$C$2+1,PRODUCT($D$5:D59),E58*D59))</f>
        <v>4.4218604831904061E-6</v>
      </c>
      <c r="F59" s="10">
        <f t="shared" si="0"/>
        <v>0.11565551280539103</v>
      </c>
      <c r="G59" s="10">
        <f t="shared" si="5"/>
        <v>5.1141254173728062E-7</v>
      </c>
      <c r="I59" s="13">
        <f t="shared" si="1"/>
        <v>2.2109302415952031E-2</v>
      </c>
      <c r="J59" s="11">
        <f>(SUM(G60:$G$79)*$I$1)</f>
        <v>0</v>
      </c>
      <c r="K59" s="11">
        <f t="shared" si="6"/>
        <v>-2.5570627086864031E-3</v>
      </c>
      <c r="Q59" s="65">
        <v>55</v>
      </c>
      <c r="R59" s="66">
        <f>Inputs!H62</f>
        <v>3.2539999999999999E-3</v>
      </c>
    </row>
    <row r="60" spans="1:18" x14ac:dyDescent="0.25">
      <c r="A60">
        <f t="shared" si="2"/>
        <v>120</v>
      </c>
      <c r="B60">
        <v>56</v>
      </c>
      <c r="C60" s="12">
        <f t="shared" si="3"/>
        <v>1</v>
      </c>
      <c r="D60" s="10">
        <f t="shared" si="4"/>
        <v>0</v>
      </c>
      <c r="E60" s="198">
        <f>IF(B60&lt;=$C$2,1,IF(B60=$C$2+1,PRODUCT($D$5:D60),E59*D60))</f>
        <v>0</v>
      </c>
      <c r="F60" s="10">
        <f t="shared" si="0"/>
        <v>0</v>
      </c>
      <c r="G60" s="10">
        <f t="shared" si="5"/>
        <v>0</v>
      </c>
      <c r="I60" s="13">
        <f t="shared" si="1"/>
        <v>0</v>
      </c>
      <c r="J60" s="11">
        <f>(SUM(G61:$G$79)*$I$1)</f>
        <v>0</v>
      </c>
      <c r="K60" s="11">
        <f t="shared" si="6"/>
        <v>0</v>
      </c>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D126" s="35"/>
      <c r="E126" s="35"/>
    </row>
    <row r="127" spans="3:18" x14ac:dyDescent="0.25">
      <c r="D127" s="35"/>
      <c r="E127" s="35"/>
    </row>
    <row r="128" spans="3:18" x14ac:dyDescent="0.25">
      <c r="D128" s="35"/>
      <c r="E128" s="35"/>
    </row>
    <row r="129" spans="3:5" x14ac:dyDescent="0.25">
      <c r="D129" s="35"/>
      <c r="E129" s="35"/>
    </row>
    <row r="130" spans="3:5" x14ac:dyDescent="0.25">
      <c r="D130" s="35"/>
      <c r="E130" s="35"/>
    </row>
    <row r="131" spans="3:5" x14ac:dyDescent="0.25">
      <c r="D131" s="35"/>
      <c r="E131" s="35"/>
    </row>
    <row r="132" spans="3:5" x14ac:dyDescent="0.25">
      <c r="D132" s="35"/>
      <c r="E132" s="35"/>
    </row>
    <row r="134" spans="3:5" x14ac:dyDescent="0.25">
      <c r="C134" s="25"/>
    </row>
    <row r="135" spans="3:5" x14ac:dyDescent="0.25">
      <c r="C135" s="25"/>
    </row>
    <row r="136" spans="3:5" x14ac:dyDescent="0.25">
      <c r="C136" s="25"/>
    </row>
    <row r="137" spans="3:5" x14ac:dyDescent="0.25">
      <c r="C137" s="25"/>
    </row>
    <row r="138" spans="3:5" x14ac:dyDescent="0.25">
      <c r="C138" s="25"/>
    </row>
    <row r="139" spans="3:5" x14ac:dyDescent="0.25">
      <c r="C139" s="25"/>
    </row>
    <row r="140" spans="3:5" x14ac:dyDescent="0.25">
      <c r="C140" s="25"/>
    </row>
    <row r="141" spans="3:5" x14ac:dyDescent="0.25">
      <c r="C141" s="25"/>
    </row>
    <row r="142" spans="3:5" x14ac:dyDescent="0.25">
      <c r="C142" s="25"/>
    </row>
    <row r="143" spans="3:5" x14ac:dyDescent="0.25">
      <c r="C143" s="25"/>
    </row>
    <row r="144" spans="3:5"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60">
    <cfRule type="cellIs" dxfId="27"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5" workbookViewId="0">
      <selection activeCell="C126" sqref="C126:E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66</v>
      </c>
      <c r="I1" s="3">
        <v>5000</v>
      </c>
      <c r="J1" s="181" t="s">
        <v>173</v>
      </c>
      <c r="L1" s="1"/>
      <c r="M1" s="4"/>
      <c r="N1" s="4"/>
      <c r="O1" s="4"/>
      <c r="P1" s="4"/>
      <c r="Q1" s="64"/>
      <c r="R1" s="28"/>
    </row>
    <row r="2" spans="1:18" ht="15.75" customHeight="1" thickBot="1" x14ac:dyDescent="0.3">
      <c r="B2" t="s">
        <v>227</v>
      </c>
      <c r="C2">
        <v>0</v>
      </c>
      <c r="F2" s="5">
        <f>'Asset and Liability Durations'!N15</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9.2713743057127349</v>
      </c>
      <c r="N3" s="10"/>
      <c r="O3" s="10"/>
      <c r="P3" s="10"/>
      <c r="Q3" s="31"/>
      <c r="R3" s="32"/>
    </row>
    <row r="4" spans="1:18" x14ac:dyDescent="0.25">
      <c r="A4">
        <v>69</v>
      </c>
      <c r="B4">
        <v>0</v>
      </c>
      <c r="C4" s="8"/>
      <c r="D4" s="7"/>
      <c r="E4" s="7"/>
      <c r="F4" s="7"/>
      <c r="G4" s="10">
        <v>1</v>
      </c>
      <c r="J4" s="11">
        <f>(SUM(G5:$G$79)*$I$1)</f>
        <v>59410.640985315491</v>
      </c>
      <c r="Q4" s="65">
        <v>0</v>
      </c>
      <c r="R4" s="66">
        <f>Inputs!H7</f>
        <v>1.6050000000000001E-3</v>
      </c>
    </row>
    <row r="5" spans="1:18" ht="15.75" thickBot="1" x14ac:dyDescent="0.3">
      <c r="A5">
        <f>B5+$A$4</f>
        <v>70</v>
      </c>
      <c r="B5">
        <v>1</v>
      </c>
      <c r="C5" s="12">
        <f>VLOOKUP(A5,$Q$4:$R$124,2,FALSE)</f>
        <v>1.1357000000000001E-2</v>
      </c>
      <c r="D5" s="10">
        <f>1-C5</f>
        <v>0.98864300000000005</v>
      </c>
      <c r="E5" s="198">
        <f>IF(B5&lt;=$C$2,1,IF(B5=$C$2+1,PRODUCT($D$5:D5),E4*D5))</f>
        <v>0.98864300000000005</v>
      </c>
      <c r="F5" s="10">
        <f t="shared" ref="F5:F50" si="0">IF(D5=0,0,(1+$F$2)^-B5)</f>
        <v>0.96153846153846145</v>
      </c>
      <c r="G5" s="10">
        <f>F5*E5</f>
        <v>0.9506182692307692</v>
      </c>
      <c r="I5" s="13">
        <f t="shared" ref="I5:I50" si="1">E5*$I$1</f>
        <v>4943.2150000000001</v>
      </c>
      <c r="J5" s="11">
        <f>(SUM(G6:$G$79)*$I$1)</f>
        <v>54657.549639161654</v>
      </c>
      <c r="K5" s="11">
        <f>J5-J4</f>
        <v>-4753.0913461538366</v>
      </c>
      <c r="L5" s="14" t="s">
        <v>16</v>
      </c>
      <c r="M5" s="14" t="s">
        <v>17</v>
      </c>
      <c r="N5" s="14" t="s">
        <v>18</v>
      </c>
      <c r="O5" s="14" t="s">
        <v>47</v>
      </c>
      <c r="Q5" s="65">
        <v>1</v>
      </c>
      <c r="R5" s="66">
        <f>Inputs!H8</f>
        <v>4.0099999999999999E-4</v>
      </c>
    </row>
    <row r="6" spans="1:18" x14ac:dyDescent="0.25">
      <c r="A6">
        <f t="shared" ref="A6:A50" si="2">B6+$A$4</f>
        <v>71</v>
      </c>
      <c r="B6">
        <v>2</v>
      </c>
      <c r="C6" s="12">
        <f t="shared" ref="C6:C50" si="3">VLOOKUP(A6,$Q$4:$R$124,2,FALSE)</f>
        <v>1.2418E-2</v>
      </c>
      <c r="D6" s="10">
        <f t="shared" ref="D6:D50" si="4">1-C6</f>
        <v>0.98758199999999996</v>
      </c>
      <c r="E6" s="198">
        <f>IF(B6&lt;=$C$2,1,IF(B6=$C$2+1,PRODUCT($D$5:D6),E5*D6))</f>
        <v>0.97636603122599996</v>
      </c>
      <c r="F6" s="10">
        <f t="shared" si="0"/>
        <v>0.92455621301775137</v>
      </c>
      <c r="G6" s="10">
        <f t="shared" ref="G6:G50" si="5">F6*E6</f>
        <v>0.90270528034948216</v>
      </c>
      <c r="I6" s="13">
        <f t="shared" si="1"/>
        <v>4881.8301561299995</v>
      </c>
      <c r="J6" s="11">
        <f>(SUM(G7:$G$79)*$I$1)</f>
        <v>50144.023237414236</v>
      </c>
      <c r="K6" s="11">
        <f t="shared" ref="K6:K50" si="6">J6-J5</f>
        <v>-4513.5264017474183</v>
      </c>
      <c r="L6" s="14">
        <v>2</v>
      </c>
      <c r="M6" s="54" t="s">
        <v>44</v>
      </c>
      <c r="N6" s="15">
        <f>SUM(I5:I7)</f>
        <v>14640.116284874923</v>
      </c>
      <c r="O6" s="16">
        <f>N6/SUM($N$6:$N$9)</f>
        <v>0.16519383428317608</v>
      </c>
      <c r="Q6" s="65">
        <v>2</v>
      </c>
      <c r="R6" s="66">
        <f>Inputs!H9</f>
        <v>2.7500000000000002E-4</v>
      </c>
    </row>
    <row r="7" spans="1:18" x14ac:dyDescent="0.25">
      <c r="A7">
        <f t="shared" si="2"/>
        <v>72</v>
      </c>
      <c r="B7">
        <v>3</v>
      </c>
      <c r="C7" s="12">
        <f t="shared" si="3"/>
        <v>1.3675E-2</v>
      </c>
      <c r="D7" s="10">
        <f t="shared" si="4"/>
        <v>0.98632500000000001</v>
      </c>
      <c r="E7" s="198">
        <f>IF(B7&lt;=$C$2,1,IF(B7=$C$2+1,PRODUCT($D$5:D7),E6*D7))</f>
        <v>0.96301422574898443</v>
      </c>
      <c r="F7" s="10">
        <f t="shared" si="0"/>
        <v>0.88899635867091487</v>
      </c>
      <c r="G7" s="10">
        <f t="shared" si="5"/>
        <v>0.8561161400391375</v>
      </c>
      <c r="I7" s="13">
        <f t="shared" si="1"/>
        <v>4815.0711287449221</v>
      </c>
      <c r="J7" s="11">
        <f>(SUM(G8:$G$79)*$I$1)</f>
        <v>45863.442537218543</v>
      </c>
      <c r="K7" s="11">
        <f t="shared" si="6"/>
        <v>-4280.5807001956928</v>
      </c>
      <c r="L7" s="14">
        <v>5</v>
      </c>
      <c r="M7" s="19" t="s">
        <v>45</v>
      </c>
      <c r="N7" s="17">
        <f>SUM(I8:I11)</f>
        <v>18456.991855922377</v>
      </c>
      <c r="O7" s="18">
        <f>N7/SUM($N$6:$N$9)</f>
        <v>0.20826209264219792</v>
      </c>
      <c r="Q7" s="65">
        <v>3</v>
      </c>
      <c r="R7" s="66">
        <f>Inputs!H10</f>
        <v>2.2900000000000001E-4</v>
      </c>
    </row>
    <row r="8" spans="1:18" x14ac:dyDescent="0.25">
      <c r="A8">
        <f t="shared" si="2"/>
        <v>73</v>
      </c>
      <c r="B8">
        <v>4</v>
      </c>
      <c r="C8" s="12">
        <f t="shared" si="3"/>
        <v>1.515E-2</v>
      </c>
      <c r="D8" s="10">
        <f t="shared" si="4"/>
        <v>0.98485</v>
      </c>
      <c r="E8" s="198">
        <f>IF(B8&lt;=$C$2,1,IF(B8=$C$2+1,PRODUCT($D$5:D8),E7*D8))</f>
        <v>0.94842456022888733</v>
      </c>
      <c r="F8" s="10">
        <f t="shared" si="0"/>
        <v>0.85480419102972571</v>
      </c>
      <c r="G8" s="10">
        <f>F8*E8</f>
        <v>0.81071728895917738</v>
      </c>
      <c r="I8" s="13">
        <f t="shared" si="1"/>
        <v>4742.1228011444364</v>
      </c>
      <c r="J8" s="11">
        <f>(SUM(G9:$G$79)*$I$1)</f>
        <v>41809.856092422669</v>
      </c>
      <c r="K8" s="11">
        <f t="shared" si="6"/>
        <v>-4053.5864447958738</v>
      </c>
      <c r="L8" s="14">
        <v>10</v>
      </c>
      <c r="M8" s="19" t="s">
        <v>46</v>
      </c>
      <c r="N8" s="17">
        <f>SUM(I12:I19)</f>
        <v>31110.216952342493</v>
      </c>
      <c r="O8" s="18">
        <f>N8/SUM($N$6:$N$9)</f>
        <v>0.35103655761589653</v>
      </c>
      <c r="Q8" s="65">
        <v>4</v>
      </c>
      <c r="R8" s="66">
        <f>Inputs!H11</f>
        <v>1.74E-4</v>
      </c>
    </row>
    <row r="9" spans="1:18" ht="15.75" thickBot="1" x14ac:dyDescent="0.3">
      <c r="A9">
        <f t="shared" si="2"/>
        <v>74</v>
      </c>
      <c r="B9">
        <v>5</v>
      </c>
      <c r="C9" s="12">
        <f t="shared" si="3"/>
        <v>1.686E-2</v>
      </c>
      <c r="D9" s="10">
        <f t="shared" si="4"/>
        <v>0.98314000000000001</v>
      </c>
      <c r="E9" s="198">
        <f>IF(B9&lt;=$C$2,1,IF(B9=$C$2+1,PRODUCT($D$5:D9),E8*D9))</f>
        <v>0.93243412214342825</v>
      </c>
      <c r="F9" s="10">
        <f t="shared" si="0"/>
        <v>0.82192710675935154</v>
      </c>
      <c r="G9" s="10">
        <f t="shared" si="5"/>
        <v>0.76639288025704377</v>
      </c>
      <c r="I9" s="13">
        <f t="shared" si="1"/>
        <v>4662.1706107171412</v>
      </c>
      <c r="J9" s="11">
        <f>(SUM(G10:$G$79)*$I$1)</f>
        <v>37977.891691137462</v>
      </c>
      <c r="K9" s="11">
        <f t="shared" si="6"/>
        <v>-3831.9644012852077</v>
      </c>
      <c r="L9" s="14">
        <v>30</v>
      </c>
      <c r="M9" s="20" t="s">
        <v>48</v>
      </c>
      <c r="N9" s="21">
        <f>SUM(I20:I70)</f>
        <v>24416.54121762557</v>
      </c>
      <c r="O9" s="22">
        <f>N9/SUM($N$6:$N$9)</f>
        <v>0.27550751545872959</v>
      </c>
      <c r="Q9" s="65">
        <v>5</v>
      </c>
      <c r="R9" s="66">
        <f>Inputs!H12</f>
        <v>1.6799999999999999E-4</v>
      </c>
    </row>
    <row r="10" spans="1:18" x14ac:dyDescent="0.25">
      <c r="A10">
        <f t="shared" si="2"/>
        <v>75</v>
      </c>
      <c r="B10">
        <v>6</v>
      </c>
      <c r="C10" s="12">
        <f t="shared" si="3"/>
        <v>1.8814999999999998E-2</v>
      </c>
      <c r="D10" s="10">
        <f t="shared" si="4"/>
        <v>0.98118499999999997</v>
      </c>
      <c r="E10" s="198">
        <f>IF(B10&lt;=$C$2,1,IF(B10=$C$2+1,PRODUCT($D$5:D10),E9*D10))</f>
        <v>0.91489037413529961</v>
      </c>
      <c r="F10" s="10">
        <f>IF(D10=0,0,(1+$F$2)^-B10)</f>
        <v>0.79031452573014571</v>
      </c>
      <c r="G10" s="10">
        <f t="shared" si="5"/>
        <v>0.72305115212981486</v>
      </c>
      <c r="I10" s="13">
        <f t="shared" si="1"/>
        <v>4574.4518706764984</v>
      </c>
      <c r="J10" s="11">
        <f>(SUM(G11:$G$79)*$I$1)</f>
        <v>34362.635930488388</v>
      </c>
      <c r="K10" s="11">
        <f t="shared" si="6"/>
        <v>-3615.2557606490736</v>
      </c>
      <c r="L10" s="53">
        <f>+SUMPRODUCT(L6:L9,O6:O9)</f>
        <v>13.147289171698196</v>
      </c>
      <c r="O10" s="23">
        <f>SUM(O6:O9)</f>
        <v>1.0000000000000002</v>
      </c>
      <c r="Q10" s="65">
        <v>6</v>
      </c>
      <c r="R10" s="66">
        <f>Inputs!H13</f>
        <v>1.65E-4</v>
      </c>
    </row>
    <row r="11" spans="1:18" x14ac:dyDescent="0.25">
      <c r="A11">
        <f t="shared" si="2"/>
        <v>76</v>
      </c>
      <c r="B11">
        <v>7</v>
      </c>
      <c r="C11" s="12">
        <f t="shared" si="3"/>
        <v>2.1031000000000001E-2</v>
      </c>
      <c r="D11" s="10">
        <f t="shared" si="4"/>
        <v>0.97896899999999998</v>
      </c>
      <c r="E11" s="198">
        <f>IF(B11&lt;=$C$2,1,IF(B11=$C$2+1,PRODUCT($D$5:D11),E10*D11))</f>
        <v>0.89564931467686015</v>
      </c>
      <c r="F11" s="10">
        <f t="shared" si="0"/>
        <v>0.75991781320206331</v>
      </c>
      <c r="G11" s="10">
        <f t="shared" si="5"/>
        <v>0.68061986860516621</v>
      </c>
      <c r="I11" s="13">
        <f t="shared" si="1"/>
        <v>4478.246573384301</v>
      </c>
      <c r="J11" s="11">
        <f>(SUM(G12:$G$79)*$I$1)</f>
        <v>30959.53658746256</v>
      </c>
      <c r="K11" s="11">
        <f t="shared" si="6"/>
        <v>-3403.0993430258277</v>
      </c>
      <c r="Q11" s="65">
        <v>7</v>
      </c>
      <c r="R11" s="66">
        <f>Inputs!H14</f>
        <v>1.5899999999999999E-4</v>
      </c>
    </row>
    <row r="12" spans="1:18" x14ac:dyDescent="0.25">
      <c r="A12">
        <f t="shared" si="2"/>
        <v>77</v>
      </c>
      <c r="B12">
        <v>8</v>
      </c>
      <c r="C12" s="12">
        <f t="shared" si="3"/>
        <v>2.3539999999999998E-2</v>
      </c>
      <c r="D12" s="10">
        <f t="shared" si="4"/>
        <v>0.97645999999999999</v>
      </c>
      <c r="E12" s="198">
        <f>IF(B12&lt;=$C$2,1,IF(B12=$C$2+1,PRODUCT($D$5:D12),E11*D12))</f>
        <v>0.87456572980936687</v>
      </c>
      <c r="F12" s="10">
        <f t="shared" si="0"/>
        <v>0.73069020500198378</v>
      </c>
      <c r="G12" s="10">
        <f t="shared" si="5"/>
        <v>0.63903661240211584</v>
      </c>
      <c r="I12" s="13">
        <f t="shared" si="1"/>
        <v>4372.8286490468345</v>
      </c>
      <c r="J12" s="11">
        <f>(SUM(G13:$G$79)*$I$1)</f>
        <v>27764.353525451977</v>
      </c>
      <c r="K12" s="11">
        <f t="shared" si="6"/>
        <v>-3195.1830620105829</v>
      </c>
      <c r="Q12" s="65">
        <v>8</v>
      </c>
      <c r="R12" s="66">
        <f>Inputs!H15</f>
        <v>1.4300000000000001E-4</v>
      </c>
    </row>
    <row r="13" spans="1:18" x14ac:dyDescent="0.25">
      <c r="A13">
        <f t="shared" si="2"/>
        <v>78</v>
      </c>
      <c r="B13">
        <v>9</v>
      </c>
      <c r="C13" s="12">
        <f t="shared" si="3"/>
        <v>2.6374999999999999E-2</v>
      </c>
      <c r="D13" s="10">
        <f t="shared" si="4"/>
        <v>0.97362499999999996</v>
      </c>
      <c r="E13" s="198">
        <f>IF(B13&lt;=$C$2,1,IF(B13=$C$2+1,PRODUCT($D$5:D13),E12*D13))</f>
        <v>0.85149905868564479</v>
      </c>
      <c r="F13" s="10">
        <f t="shared" si="0"/>
        <v>0.70258673557883045</v>
      </c>
      <c r="G13" s="10">
        <f t="shared" si="5"/>
        <v>0.59825194399039416</v>
      </c>
      <c r="I13" s="13">
        <f t="shared" si="1"/>
        <v>4257.4952934282237</v>
      </c>
      <c r="J13" s="11">
        <f>(SUM(G14:$G$79)*$I$1)</f>
        <v>24773.093805500008</v>
      </c>
      <c r="K13" s="11">
        <f t="shared" si="6"/>
        <v>-2991.2597199519696</v>
      </c>
      <c r="Q13" s="65">
        <v>9</v>
      </c>
      <c r="R13" s="66">
        <f>Inputs!H16</f>
        <v>1.2899999999999999E-4</v>
      </c>
    </row>
    <row r="14" spans="1:18" x14ac:dyDescent="0.25">
      <c r="A14">
        <f t="shared" si="2"/>
        <v>79</v>
      </c>
      <c r="B14">
        <v>10</v>
      </c>
      <c r="C14" s="12">
        <f t="shared" si="3"/>
        <v>2.9572000000000001E-2</v>
      </c>
      <c r="D14" s="10">
        <f t="shared" si="4"/>
        <v>0.97042799999999996</v>
      </c>
      <c r="E14" s="198">
        <f>IF(B14&lt;=$C$2,1,IF(B14=$C$2+1,PRODUCT($D$5:D14),E13*D14))</f>
        <v>0.8263185285221929</v>
      </c>
      <c r="F14" s="10">
        <f t="shared" si="0"/>
        <v>0.67556416882579851</v>
      </c>
      <c r="G14" s="10">
        <f t="shared" si="5"/>
        <v>0.55823118990645215</v>
      </c>
      <c r="I14" s="13">
        <f t="shared" si="1"/>
        <v>4131.5926426109645</v>
      </c>
      <c r="J14" s="11">
        <f>(SUM(G15:$G$79)*$I$1)</f>
        <v>21981.937855967746</v>
      </c>
      <c r="K14" s="11">
        <f t="shared" si="6"/>
        <v>-2791.1559495322617</v>
      </c>
      <c r="Q14" s="65">
        <v>10</v>
      </c>
      <c r="R14" s="66">
        <f>Inputs!H17</f>
        <v>1.13E-4</v>
      </c>
    </row>
    <row r="15" spans="1:18" x14ac:dyDescent="0.25">
      <c r="A15">
        <f t="shared" si="2"/>
        <v>80</v>
      </c>
      <c r="B15">
        <v>11</v>
      </c>
      <c r="C15" s="12">
        <f t="shared" si="3"/>
        <v>3.3234E-2</v>
      </c>
      <c r="D15" s="10">
        <f t="shared" si="4"/>
        <v>0.96676600000000001</v>
      </c>
      <c r="E15" s="198">
        <f>IF(B15&lt;=$C$2,1,IF(B15=$C$2+1,PRODUCT($D$5:D15),E14*D15))</f>
        <v>0.79885665854528631</v>
      </c>
      <c r="F15" s="10">
        <f t="shared" si="0"/>
        <v>0.6495809315632679</v>
      </c>
      <c r="G15" s="10">
        <f t="shared" si="5"/>
        <v>0.51892205244336653</v>
      </c>
      <c r="I15" s="13">
        <f t="shared" si="1"/>
        <v>3994.2832927264317</v>
      </c>
      <c r="J15" s="11">
        <f>(SUM(G16:$G$79)*$I$1)</f>
        <v>19387.327593750917</v>
      </c>
      <c r="K15" s="11">
        <f t="shared" si="6"/>
        <v>-2594.6102622168291</v>
      </c>
      <c r="Q15" s="65">
        <v>11</v>
      </c>
      <c r="R15" s="66">
        <f>Inputs!H18</f>
        <v>1.11E-4</v>
      </c>
    </row>
    <row r="16" spans="1:18" x14ac:dyDescent="0.25">
      <c r="A16">
        <f t="shared" si="2"/>
        <v>81</v>
      </c>
      <c r="B16">
        <v>12</v>
      </c>
      <c r="C16" s="12">
        <f t="shared" si="3"/>
        <v>3.7532999999999997E-2</v>
      </c>
      <c r="D16" s="10">
        <f t="shared" si="4"/>
        <v>0.96246699999999996</v>
      </c>
      <c r="E16" s="198">
        <f>IF(B16&lt;=$C$2,1,IF(B16=$C$2+1,PRODUCT($D$5:D16),E15*D16))</f>
        <v>0.76887317158010604</v>
      </c>
      <c r="F16" s="10">
        <f t="shared" si="0"/>
        <v>0.62459704958006512</v>
      </c>
      <c r="G16" s="10">
        <f t="shared" si="5"/>
        <v>0.48023591447020142</v>
      </c>
      <c r="I16" s="13">
        <f t="shared" si="1"/>
        <v>3844.36585790053</v>
      </c>
      <c r="J16" s="11">
        <f>(SUM(G17:$G$79)*$I$1)</f>
        <v>16986.148021399906</v>
      </c>
      <c r="K16" s="11">
        <f t="shared" si="6"/>
        <v>-2401.1795723510113</v>
      </c>
      <c r="Q16" s="65">
        <v>12</v>
      </c>
      <c r="R16" s="66">
        <f>Inputs!H19</f>
        <v>1.3200000000000001E-4</v>
      </c>
    </row>
    <row r="17" spans="1:18" x14ac:dyDescent="0.25">
      <c r="A17">
        <f t="shared" si="2"/>
        <v>82</v>
      </c>
      <c r="B17">
        <v>13</v>
      </c>
      <c r="C17" s="12">
        <f t="shared" si="3"/>
        <v>4.2261E-2</v>
      </c>
      <c r="D17" s="10">
        <f t="shared" si="4"/>
        <v>0.95773900000000001</v>
      </c>
      <c r="E17" s="198">
        <f>IF(B17&lt;=$C$2,1,IF(B17=$C$2+1,PRODUCT($D$5:D17),E16*D17))</f>
        <v>0.73637982247595923</v>
      </c>
      <c r="F17" s="10">
        <f t="shared" si="0"/>
        <v>0.600574086134678</v>
      </c>
      <c r="G17" s="10">
        <f t="shared" si="5"/>
        <v>0.44225063893151562</v>
      </c>
      <c r="I17" s="13">
        <f t="shared" si="1"/>
        <v>3681.899112379796</v>
      </c>
      <c r="J17" s="11">
        <f>(SUM(G18:$G$79)*$I$1)</f>
        <v>14774.894826742331</v>
      </c>
      <c r="K17" s="11">
        <f t="shared" si="6"/>
        <v>-2211.2531946575746</v>
      </c>
      <c r="Q17" s="65">
        <v>13</v>
      </c>
      <c r="R17" s="66">
        <f>Inputs!H20</f>
        <v>1.6899999999999999E-4</v>
      </c>
    </row>
    <row r="18" spans="1:18" x14ac:dyDescent="0.25">
      <c r="A18">
        <f t="shared" si="2"/>
        <v>83</v>
      </c>
      <c r="B18">
        <v>14</v>
      </c>
      <c r="C18" s="12">
        <f t="shared" si="3"/>
        <v>4.7440999999999997E-2</v>
      </c>
      <c r="D18" s="10">
        <f t="shared" si="4"/>
        <v>0.95255900000000004</v>
      </c>
      <c r="E18" s="198">
        <f>IF(B18&lt;=$C$2,1,IF(B18=$C$2+1,PRODUCT($D$5:D18),E17*D18))</f>
        <v>0.70144522731787728</v>
      </c>
      <c r="F18" s="10">
        <f t="shared" si="0"/>
        <v>0.57747508282180582</v>
      </c>
      <c r="G18" s="10">
        <f t="shared" si="5"/>
        <v>0.40506714074035161</v>
      </c>
      <c r="I18" s="13">
        <f t="shared" si="1"/>
        <v>3507.2261365893864</v>
      </c>
      <c r="J18" s="11">
        <f>(SUM(G19:$G$79)*$I$1)</f>
        <v>12749.55912304057</v>
      </c>
      <c r="K18" s="11">
        <f t="shared" si="6"/>
        <v>-2025.3357037017613</v>
      </c>
      <c r="Q18" s="65">
        <v>14</v>
      </c>
      <c r="R18" s="66">
        <f>Inputs!H21</f>
        <v>2.13E-4</v>
      </c>
    </row>
    <row r="19" spans="1:18" x14ac:dyDescent="0.25">
      <c r="A19">
        <f t="shared" si="2"/>
        <v>84</v>
      </c>
      <c r="B19">
        <v>15</v>
      </c>
      <c r="C19" s="12">
        <f t="shared" si="3"/>
        <v>5.3233000000000003E-2</v>
      </c>
      <c r="D19" s="10">
        <f t="shared" si="4"/>
        <v>0.94676700000000003</v>
      </c>
      <c r="E19" s="198">
        <f>IF(B19&lt;=$C$2,1,IF(B19=$C$2+1,PRODUCT($D$5:D19),E18*D19))</f>
        <v>0.66410519353206476</v>
      </c>
      <c r="F19" s="10">
        <f t="shared" si="0"/>
        <v>0.55526450271327477</v>
      </c>
      <c r="G19" s="10">
        <f t="shared" si="5"/>
        <v>0.36875404003588502</v>
      </c>
      <c r="I19" s="13">
        <f t="shared" si="1"/>
        <v>3320.5259676603237</v>
      </c>
      <c r="J19" s="11">
        <f>(SUM(G20:$G$79)*$I$1)</f>
        <v>10905.788922861146</v>
      </c>
      <c r="K19" s="11">
        <f t="shared" si="6"/>
        <v>-1843.7702001794241</v>
      </c>
      <c r="Q19" s="65">
        <v>15</v>
      </c>
      <c r="R19" s="66">
        <f>Inputs!H22</f>
        <v>2.5399999999999999E-4</v>
      </c>
    </row>
    <row r="20" spans="1:18" x14ac:dyDescent="0.25">
      <c r="A20">
        <f t="shared" si="2"/>
        <v>85</v>
      </c>
      <c r="B20">
        <v>16</v>
      </c>
      <c r="C20" s="12">
        <f t="shared" si="3"/>
        <v>5.9854999999999998E-2</v>
      </c>
      <c r="D20" s="10">
        <f t="shared" si="4"/>
        <v>0.94014500000000001</v>
      </c>
      <c r="E20" s="198">
        <f>IF(B20&lt;=$C$2,1,IF(B20=$C$2+1,PRODUCT($D$5:D20),E19*D20))</f>
        <v>0.62435517717320299</v>
      </c>
      <c r="F20" s="10">
        <f t="shared" si="0"/>
        <v>0.53390817568584104</v>
      </c>
      <c r="G20" s="10">
        <f t="shared" si="5"/>
        <v>0.33334833362455485</v>
      </c>
      <c r="I20" s="13">
        <f t="shared" si="1"/>
        <v>3121.775885866015</v>
      </c>
      <c r="J20" s="11">
        <f>(SUM(G21:$G$79)*$I$1)</f>
        <v>9239.0472547383688</v>
      </c>
      <c r="K20" s="11">
        <f t="shared" si="6"/>
        <v>-1666.7416681227769</v>
      </c>
      <c r="Q20" s="65">
        <v>16</v>
      </c>
      <c r="R20" s="66">
        <f>Inputs!H23</f>
        <v>2.9300000000000002E-4</v>
      </c>
    </row>
    <row r="21" spans="1:18" x14ac:dyDescent="0.25">
      <c r="A21">
        <f t="shared" si="2"/>
        <v>86</v>
      </c>
      <c r="B21">
        <v>17</v>
      </c>
      <c r="C21" s="12">
        <f t="shared" si="3"/>
        <v>6.7514000000000005E-2</v>
      </c>
      <c r="D21" s="10">
        <f t="shared" si="4"/>
        <v>0.93248600000000004</v>
      </c>
      <c r="E21" s="198">
        <f>IF(B21&lt;=$C$2,1,IF(B21=$C$2+1,PRODUCT($D$5:D21),E20*D21))</f>
        <v>0.58220246174153134</v>
      </c>
      <c r="F21" s="10">
        <f t="shared" si="0"/>
        <v>0.51337324585177024</v>
      </c>
      <c r="G21" s="10">
        <f t="shared" si="5"/>
        <v>0.29888716752714101</v>
      </c>
      <c r="I21" s="13">
        <f t="shared" si="1"/>
        <v>2911.0123087076568</v>
      </c>
      <c r="J21" s="11">
        <f>(SUM(G22:$G$79)*$I$1)</f>
        <v>7744.6114171026638</v>
      </c>
      <c r="K21" s="11">
        <f t="shared" si="6"/>
        <v>-1494.435837635705</v>
      </c>
      <c r="Q21" s="65">
        <v>17</v>
      </c>
      <c r="R21" s="66">
        <f>Inputs!H24</f>
        <v>3.28E-4</v>
      </c>
    </row>
    <row r="22" spans="1:18" x14ac:dyDescent="0.25">
      <c r="A22">
        <f t="shared" si="2"/>
        <v>87</v>
      </c>
      <c r="B22">
        <v>18</v>
      </c>
      <c r="C22" s="12">
        <f t="shared" si="3"/>
        <v>7.6340000000000005E-2</v>
      </c>
      <c r="D22" s="10">
        <f t="shared" si="4"/>
        <v>0.92366000000000004</v>
      </c>
      <c r="E22" s="198">
        <f>IF(B22&lt;=$C$2,1,IF(B22=$C$2+1,PRODUCT($D$5:D22),E21*D22))</f>
        <v>0.53775712581218282</v>
      </c>
      <c r="F22" s="10">
        <f t="shared" si="0"/>
        <v>0.49362812101131748</v>
      </c>
      <c r="G22" s="10">
        <f t="shared" si="5"/>
        <v>0.26545203957511448</v>
      </c>
      <c r="I22" s="13">
        <f t="shared" si="1"/>
        <v>2688.7856290609143</v>
      </c>
      <c r="J22" s="11">
        <f>(SUM(G23:$G$79)*$I$1)</f>
        <v>6417.351219227091</v>
      </c>
      <c r="K22" s="11">
        <f t="shared" si="6"/>
        <v>-1327.2601978755729</v>
      </c>
      <c r="Q22" s="65">
        <v>18</v>
      </c>
      <c r="R22" s="66">
        <f>Inputs!H25</f>
        <v>3.59E-4</v>
      </c>
    </row>
    <row r="23" spans="1:18" x14ac:dyDescent="0.25">
      <c r="A23">
        <f t="shared" si="2"/>
        <v>88</v>
      </c>
      <c r="B23">
        <v>19</v>
      </c>
      <c r="C23" s="12">
        <f t="shared" si="3"/>
        <v>8.6388000000000006E-2</v>
      </c>
      <c r="D23" s="10">
        <f t="shared" si="4"/>
        <v>0.91361199999999998</v>
      </c>
      <c r="E23" s="198">
        <f>IF(B23&lt;=$C$2,1,IF(B23=$C$2+1,PRODUCT($D$5:D23),E22*D23))</f>
        <v>0.49130136322751994</v>
      </c>
      <c r="F23" s="10">
        <f t="shared" si="0"/>
        <v>0.47464242404934376</v>
      </c>
      <c r="G23" s="10">
        <f t="shared" si="5"/>
        <v>0.23319246998105719</v>
      </c>
      <c r="I23" s="13">
        <f t="shared" si="1"/>
        <v>2456.5068161375998</v>
      </c>
      <c r="J23" s="11">
        <f>(SUM(G24:$G$79)*$I$1)</f>
        <v>5251.388869321805</v>
      </c>
      <c r="K23" s="11">
        <f t="shared" si="6"/>
        <v>-1165.9623499052859</v>
      </c>
      <c r="Q23" s="65">
        <v>19</v>
      </c>
      <c r="R23" s="66">
        <f>Inputs!H26</f>
        <v>3.8699999999999997E-4</v>
      </c>
    </row>
    <row r="24" spans="1:18" x14ac:dyDescent="0.25">
      <c r="A24">
        <f t="shared" si="2"/>
        <v>89</v>
      </c>
      <c r="B24">
        <v>20</v>
      </c>
      <c r="C24" s="12">
        <f t="shared" si="3"/>
        <v>9.7633999999999999E-2</v>
      </c>
      <c r="D24" s="10">
        <f t="shared" si="4"/>
        <v>0.902366</v>
      </c>
      <c r="E24" s="198">
        <f>IF(B24&lt;=$C$2,1,IF(B24=$C$2+1,PRODUCT($D$5:D24),E23*D24))</f>
        <v>0.44333364593016428</v>
      </c>
      <c r="F24" s="10">
        <f t="shared" si="0"/>
        <v>0.45638694620129205</v>
      </c>
      <c r="G24" s="10">
        <f t="shared" si="5"/>
        <v>0.20233168881435254</v>
      </c>
      <c r="I24" s="13">
        <f t="shared" si="1"/>
        <v>2216.6682296508216</v>
      </c>
      <c r="J24" s="11">
        <f>(SUM(G25:$G$79)*$I$1)</f>
        <v>4239.7304252500453</v>
      </c>
      <c r="K24" s="11">
        <f t="shared" si="6"/>
        <v>-1011.6584440717597</v>
      </c>
      <c r="Q24" s="65">
        <v>20</v>
      </c>
      <c r="R24" s="66">
        <f>Inputs!H27</f>
        <v>4.1399999999999998E-4</v>
      </c>
    </row>
    <row r="25" spans="1:18" x14ac:dyDescent="0.25">
      <c r="A25">
        <f t="shared" si="2"/>
        <v>90</v>
      </c>
      <c r="B25">
        <v>21</v>
      </c>
      <c r="C25" s="12">
        <f t="shared" si="3"/>
        <v>0.10999299999999999</v>
      </c>
      <c r="D25" s="10">
        <f t="shared" si="4"/>
        <v>0.89000699999999999</v>
      </c>
      <c r="E25" s="198">
        <f>IF(B25&lt;=$C$2,1,IF(B25=$C$2+1,PRODUCT($D$5:D25),E24*D25))</f>
        <v>0.39457004821336772</v>
      </c>
      <c r="F25" s="10">
        <f t="shared" si="0"/>
        <v>0.43883360211662686</v>
      </c>
      <c r="G25" s="10">
        <f t="shared" si="5"/>
        <v>0.17315059554480328</v>
      </c>
      <c r="I25" s="13">
        <f t="shared" si="1"/>
        <v>1972.8502410668386</v>
      </c>
      <c r="J25" s="11">
        <f>(SUM(G26:$G$79)*$I$1)</f>
        <v>3373.9774475260288</v>
      </c>
      <c r="K25" s="11">
        <f t="shared" si="6"/>
        <v>-865.75297772401655</v>
      </c>
      <c r="Q25" s="65">
        <v>21</v>
      </c>
      <c r="R25" s="66">
        <f>Inputs!H28</f>
        <v>4.4299999999999998E-4</v>
      </c>
    </row>
    <row r="26" spans="1:18" x14ac:dyDescent="0.25">
      <c r="A26">
        <f t="shared" si="2"/>
        <v>91</v>
      </c>
      <c r="B26">
        <v>22</v>
      </c>
      <c r="C26" s="12">
        <f t="shared" si="3"/>
        <v>0.12311900000000001</v>
      </c>
      <c r="D26" s="10">
        <f t="shared" si="4"/>
        <v>0.87688100000000002</v>
      </c>
      <c r="E26" s="198">
        <f>IF(B26&lt;=$C$2,1,IF(B26=$C$2+1,PRODUCT($D$5:D26),E25*D26))</f>
        <v>0.34599097844738613</v>
      </c>
      <c r="F26" s="10">
        <f t="shared" si="0"/>
        <v>0.42195538665060278</v>
      </c>
      <c r="G26" s="10">
        <f t="shared" si="5"/>
        <v>0.14599275708838719</v>
      </c>
      <c r="I26" s="13">
        <f t="shared" si="1"/>
        <v>1729.9548922369306</v>
      </c>
      <c r="J26" s="11">
        <f>(SUM(G27:$G$79)*$I$1)</f>
        <v>2644.0136620840922</v>
      </c>
      <c r="K26" s="11">
        <f t="shared" si="6"/>
        <v>-729.96378544193658</v>
      </c>
      <c r="Q26" s="65">
        <v>22</v>
      </c>
      <c r="R26" s="66">
        <f>Inputs!H29</f>
        <v>4.73E-4</v>
      </c>
    </row>
    <row r="27" spans="1:18" x14ac:dyDescent="0.25">
      <c r="A27">
        <f t="shared" si="2"/>
        <v>92</v>
      </c>
      <c r="B27">
        <v>23</v>
      </c>
      <c r="C27" s="12">
        <f t="shared" si="3"/>
        <v>0.13716800000000001</v>
      </c>
      <c r="D27" s="10">
        <f t="shared" si="4"/>
        <v>0.86283200000000004</v>
      </c>
      <c r="E27" s="198">
        <f>IF(B27&lt;=$C$2,1,IF(B27=$C$2+1,PRODUCT($D$5:D27),E26*D27))</f>
        <v>0.29853208791571506</v>
      </c>
      <c r="F27" s="10">
        <f t="shared" si="0"/>
        <v>0.40572633331788732</v>
      </c>
      <c r="G27" s="10">
        <f t="shared" si="5"/>
        <v>0.12112232940777624</v>
      </c>
      <c r="I27" s="13">
        <f t="shared" si="1"/>
        <v>1492.6604395785753</v>
      </c>
      <c r="J27" s="11">
        <f>(SUM(G28:$G$79)*$I$1)</f>
        <v>2038.4020150452097</v>
      </c>
      <c r="K27" s="11">
        <f t="shared" si="6"/>
        <v>-605.61164703888244</v>
      </c>
      <c r="Q27" s="65">
        <v>23</v>
      </c>
      <c r="R27" s="66">
        <f>Inputs!H30</f>
        <v>5.13E-4</v>
      </c>
    </row>
    <row r="28" spans="1:18" x14ac:dyDescent="0.25">
      <c r="A28">
        <f t="shared" si="2"/>
        <v>93</v>
      </c>
      <c r="B28">
        <v>24</v>
      </c>
      <c r="C28" s="12">
        <f t="shared" si="3"/>
        <v>0.152171</v>
      </c>
      <c r="D28" s="10">
        <f t="shared" si="4"/>
        <v>0.84782899999999994</v>
      </c>
      <c r="E28" s="198">
        <f>IF(B28&lt;=$C$2,1,IF(B28=$C$2+1,PRODUCT($D$5:D28),E27*D28))</f>
        <v>0.25310416156549276</v>
      </c>
      <c r="F28" s="10">
        <f t="shared" si="0"/>
        <v>0.39012147434412242</v>
      </c>
      <c r="G28" s="10">
        <f t="shared" si="5"/>
        <v>9.8741368672563001E-2</v>
      </c>
      <c r="I28" s="13">
        <f t="shared" si="1"/>
        <v>1265.5208078274638</v>
      </c>
      <c r="J28" s="11">
        <f>(SUM(G29:$G$79)*$I$1)</f>
        <v>1544.6951716823951</v>
      </c>
      <c r="K28" s="11">
        <f t="shared" si="6"/>
        <v>-493.70684336281465</v>
      </c>
      <c r="Q28" s="65">
        <v>24</v>
      </c>
      <c r="R28" s="66">
        <f>Inputs!H31</f>
        <v>5.5400000000000002E-4</v>
      </c>
    </row>
    <row r="29" spans="1:18" x14ac:dyDescent="0.25">
      <c r="A29">
        <f t="shared" si="2"/>
        <v>94</v>
      </c>
      <c r="B29">
        <v>25</v>
      </c>
      <c r="C29" s="12">
        <f t="shared" si="3"/>
        <v>0.16819400000000001</v>
      </c>
      <c r="D29" s="10">
        <f t="shared" si="4"/>
        <v>0.83180600000000005</v>
      </c>
      <c r="E29" s="198">
        <f>IF(B29&lt;=$C$2,1,IF(B29=$C$2+1,PRODUCT($D$5:D29),E28*D29))</f>
        <v>0.21053356021514627</v>
      </c>
      <c r="F29" s="10">
        <f t="shared" si="0"/>
        <v>0.37511680225396377</v>
      </c>
      <c r="G29" s="10">
        <f t="shared" si="5"/>
        <v>7.8974675875048E-2</v>
      </c>
      <c r="I29" s="13">
        <f t="shared" si="1"/>
        <v>1052.6678010757314</v>
      </c>
      <c r="J29" s="11">
        <f>(SUM(G30:$G$79)*$I$1)</f>
        <v>1149.8217923071554</v>
      </c>
      <c r="K29" s="11">
        <f t="shared" si="6"/>
        <v>-394.87337937523967</v>
      </c>
      <c r="Q29" s="65">
        <v>25</v>
      </c>
      <c r="R29" s="66">
        <f>Inputs!H32</f>
        <v>6.02E-4</v>
      </c>
    </row>
    <row r="30" spans="1:18" x14ac:dyDescent="0.25">
      <c r="A30">
        <f t="shared" si="2"/>
        <v>95</v>
      </c>
      <c r="B30">
        <v>26</v>
      </c>
      <c r="C30" s="12">
        <f t="shared" si="3"/>
        <v>0.18526000000000001</v>
      </c>
      <c r="D30" s="10">
        <f t="shared" si="4"/>
        <v>0.81474000000000002</v>
      </c>
      <c r="E30" s="198">
        <f>IF(B30&lt;=$C$2,1,IF(B30=$C$2+1,PRODUCT($D$5:D30),E29*D30))</f>
        <v>0.17153011284968828</v>
      </c>
      <c r="F30" s="10">
        <f t="shared" si="0"/>
        <v>0.36068923293650368</v>
      </c>
      <c r="G30" s="10">
        <f t="shared" si="5"/>
        <v>6.1869064829265977E-2</v>
      </c>
      <c r="I30" s="13">
        <f t="shared" si="1"/>
        <v>857.65056424844136</v>
      </c>
      <c r="J30" s="11">
        <f>(SUM(G31:$G$79)*$I$1)</f>
        <v>840.47646816082556</v>
      </c>
      <c r="K30" s="11">
        <f t="shared" si="6"/>
        <v>-309.34532414632986</v>
      </c>
      <c r="Q30" s="65">
        <v>26</v>
      </c>
      <c r="R30" s="66">
        <f>Inputs!H33</f>
        <v>6.5499999999999998E-4</v>
      </c>
    </row>
    <row r="31" spans="1:18" x14ac:dyDescent="0.25">
      <c r="A31">
        <f t="shared" si="2"/>
        <v>96</v>
      </c>
      <c r="B31">
        <v>27</v>
      </c>
      <c r="C31" s="12">
        <f t="shared" si="3"/>
        <v>0.197322</v>
      </c>
      <c r="D31" s="10">
        <f t="shared" si="4"/>
        <v>0.802678</v>
      </c>
      <c r="E31" s="198">
        <f>IF(B31&lt;=$C$2,1,IF(B31=$C$2+1,PRODUCT($D$5:D31),E30*D31))</f>
        <v>0.13768344792196208</v>
      </c>
      <c r="F31" s="10">
        <f t="shared" si="0"/>
        <v>0.3468165701312535</v>
      </c>
      <c r="G31" s="10">
        <f t="shared" si="5"/>
        <v>4.7750901172139947E-2</v>
      </c>
      <c r="I31" s="13">
        <f t="shared" si="1"/>
        <v>688.41723960981039</v>
      </c>
      <c r="J31" s="11">
        <f>(SUM(G32:$G$79)*$I$1)</f>
        <v>601.72196230012582</v>
      </c>
      <c r="K31" s="11">
        <f t="shared" si="6"/>
        <v>-238.75450586069974</v>
      </c>
      <c r="Q31" s="65">
        <v>27</v>
      </c>
      <c r="R31" s="66">
        <f>Inputs!H34</f>
        <v>6.8800000000000003E-4</v>
      </c>
    </row>
    <row r="32" spans="1:18" x14ac:dyDescent="0.25">
      <c r="A32">
        <f t="shared" si="2"/>
        <v>97</v>
      </c>
      <c r="B32">
        <v>28</v>
      </c>
      <c r="C32" s="12">
        <f t="shared" si="3"/>
        <v>0.214751</v>
      </c>
      <c r="D32" s="10">
        <f t="shared" si="4"/>
        <v>0.78524899999999997</v>
      </c>
      <c r="E32" s="198">
        <f>IF(B32&lt;=$C$2,1,IF(B32=$C$2+1,PRODUCT($D$5:D32),E31*D32))</f>
        <v>0.10811578979727279</v>
      </c>
      <c r="F32" s="10">
        <f t="shared" si="0"/>
        <v>0.3334774712800514</v>
      </c>
      <c r="G32" s="10">
        <f t="shared" si="5"/>
        <v>3.6054180187040111E-2</v>
      </c>
      <c r="I32" s="13">
        <f t="shared" si="1"/>
        <v>540.57894898636391</v>
      </c>
      <c r="J32" s="11">
        <f>(SUM(G33:$G$79)*$I$1)</f>
        <v>421.45106136492529</v>
      </c>
      <c r="K32" s="11">
        <f t="shared" si="6"/>
        <v>-180.27090093520053</v>
      </c>
      <c r="Q32" s="65">
        <v>28</v>
      </c>
      <c r="R32" s="66">
        <f>Inputs!H35</f>
        <v>7.1000000000000002E-4</v>
      </c>
    </row>
    <row r="33" spans="1:18" x14ac:dyDescent="0.25">
      <c r="A33">
        <f t="shared" si="2"/>
        <v>98</v>
      </c>
      <c r="B33">
        <v>29</v>
      </c>
      <c r="C33" s="12">
        <f t="shared" si="3"/>
        <v>0.23250699999999999</v>
      </c>
      <c r="D33" s="10">
        <f t="shared" si="4"/>
        <v>0.76749299999999998</v>
      </c>
      <c r="E33" s="198">
        <f>IF(B33&lt;=$C$2,1,IF(B33=$C$2+1,PRODUCT($D$5:D33),E32*D33))</f>
        <v>8.2978111858878281E-2</v>
      </c>
      <c r="F33" s="10">
        <f t="shared" si="0"/>
        <v>0.32065141469235708</v>
      </c>
      <c r="G33" s="10">
        <f t="shared" si="5"/>
        <v>2.6607048956049973E-2</v>
      </c>
      <c r="I33" s="13">
        <f t="shared" si="1"/>
        <v>414.89055929439138</v>
      </c>
      <c r="J33" s="11">
        <f>(SUM(G34:$G$79)*$I$1)</f>
        <v>288.41581658467516</v>
      </c>
      <c r="K33" s="11">
        <f t="shared" si="6"/>
        <v>-133.03524478025014</v>
      </c>
      <c r="Q33" s="65">
        <v>29</v>
      </c>
      <c r="R33" s="66">
        <f>Inputs!H36</f>
        <v>7.27E-4</v>
      </c>
    </row>
    <row r="34" spans="1:18" x14ac:dyDescent="0.25">
      <c r="A34">
        <f t="shared" si="2"/>
        <v>99</v>
      </c>
      <c r="B34">
        <v>30</v>
      </c>
      <c r="C34" s="12">
        <f t="shared" si="3"/>
        <v>0.25039699999999998</v>
      </c>
      <c r="D34" s="10">
        <f t="shared" si="4"/>
        <v>0.74960300000000002</v>
      </c>
      <c r="E34" s="198">
        <f>IF(B34&lt;=$C$2,1,IF(B34=$C$2+1,PRODUCT($D$5:D34),E33*D34))</f>
        <v>6.2200641583750736E-2</v>
      </c>
      <c r="F34" s="10">
        <f t="shared" si="0"/>
        <v>0.30831866797342034</v>
      </c>
      <c r="G34" s="10">
        <f t="shared" si="5"/>
        <v>1.9177618960194164E-2</v>
      </c>
      <c r="I34" s="13">
        <f t="shared" si="1"/>
        <v>311.00320791875367</v>
      </c>
      <c r="J34" s="11">
        <f>(SUM(G35:$G$79)*$I$1)</f>
        <v>192.52772178370435</v>
      </c>
      <c r="K34" s="11">
        <f t="shared" si="6"/>
        <v>-95.888094800970805</v>
      </c>
      <c r="Q34" s="65">
        <v>30</v>
      </c>
      <c r="R34" s="66">
        <f>Inputs!H37</f>
        <v>7.4100000000000001E-4</v>
      </c>
    </row>
    <row r="35" spans="1:18" x14ac:dyDescent="0.25">
      <c r="A35">
        <f t="shared" si="2"/>
        <v>100</v>
      </c>
      <c r="B35">
        <v>31</v>
      </c>
      <c r="C35" s="12">
        <f t="shared" si="3"/>
        <v>0.26860699999999998</v>
      </c>
      <c r="D35" s="10">
        <f t="shared" si="4"/>
        <v>0.73139299999999996</v>
      </c>
      <c r="E35" s="198">
        <f>IF(B35&lt;=$C$2,1,IF(B35=$C$2+1,PRODUCT($D$5:D35),E34*D35))</f>
        <v>4.5493113849864202E-2</v>
      </c>
      <c r="F35" s="10">
        <f t="shared" si="0"/>
        <v>0.29646025766675027</v>
      </c>
      <c r="G35" s="10">
        <f t="shared" si="5"/>
        <v>1.3486900253993546E-2</v>
      </c>
      <c r="I35" s="13">
        <f t="shared" si="1"/>
        <v>227.46556924932102</v>
      </c>
      <c r="J35" s="11">
        <f>(SUM(G36:$G$79)*$I$1)</f>
        <v>125.09322051373672</v>
      </c>
      <c r="K35" s="11">
        <f t="shared" si="6"/>
        <v>-67.434501269967626</v>
      </c>
      <c r="Q35" s="65">
        <v>31</v>
      </c>
      <c r="R35" s="66">
        <f>Inputs!H38</f>
        <v>7.5100000000000004E-4</v>
      </c>
    </row>
    <row r="36" spans="1:18" x14ac:dyDescent="0.25">
      <c r="A36">
        <f t="shared" si="2"/>
        <v>101</v>
      </c>
      <c r="B36">
        <v>32</v>
      </c>
      <c r="C36" s="12">
        <f t="shared" si="3"/>
        <v>0.290016</v>
      </c>
      <c r="D36" s="10">
        <f t="shared" si="4"/>
        <v>0.70998399999999995</v>
      </c>
      <c r="E36" s="198">
        <f>IF(B36&lt;=$C$2,1,IF(B36=$C$2+1,PRODUCT($D$5:D36),E35*D36))</f>
        <v>3.2299382943581985E-2</v>
      </c>
      <c r="F36" s="10">
        <f t="shared" si="0"/>
        <v>0.28505794006418295</v>
      </c>
      <c r="G36" s="10">
        <f t="shared" si="5"/>
        <v>9.2071955672416855E-3</v>
      </c>
      <c r="I36" s="13">
        <f t="shared" si="1"/>
        <v>161.49691471790993</v>
      </c>
      <c r="J36" s="11">
        <f>(SUM(G37:$G$79)*$I$1)</f>
        <v>79.057242677528265</v>
      </c>
      <c r="K36" s="11">
        <f t="shared" si="6"/>
        <v>-46.03597783620846</v>
      </c>
      <c r="Q36" s="65">
        <v>32</v>
      </c>
      <c r="R36" s="66">
        <f>Inputs!H39</f>
        <v>7.54E-4</v>
      </c>
    </row>
    <row r="37" spans="1:18" x14ac:dyDescent="0.25">
      <c r="A37">
        <f t="shared" si="2"/>
        <v>102</v>
      </c>
      <c r="B37">
        <v>33</v>
      </c>
      <c r="C37" s="12">
        <f t="shared" si="3"/>
        <v>0.31184899999999999</v>
      </c>
      <c r="D37" s="10">
        <f t="shared" si="4"/>
        <v>0.68815099999999996</v>
      </c>
      <c r="E37" s="198">
        <f>IF(B37&lt;=$C$2,1,IF(B37=$C$2+1,PRODUCT($D$5:D37),E36*D37))</f>
        <v>2.2226852672008884E-2</v>
      </c>
      <c r="F37" s="10">
        <f t="shared" si="0"/>
        <v>0.27409417313863743</v>
      </c>
      <c r="G37" s="10">
        <f t="shared" si="5"/>
        <v>6.0922508046085894E-3</v>
      </c>
      <c r="I37" s="13">
        <f t="shared" si="1"/>
        <v>111.13426336004443</v>
      </c>
      <c r="J37" s="11">
        <f>(SUM(G38:$G$79)*$I$1)</f>
        <v>48.595988654485311</v>
      </c>
      <c r="K37" s="11">
        <f t="shared" si="6"/>
        <v>-30.461254023042954</v>
      </c>
      <c r="Q37" s="65">
        <v>33</v>
      </c>
      <c r="R37" s="66">
        <f>Inputs!H40</f>
        <v>7.5600000000000005E-4</v>
      </c>
    </row>
    <row r="38" spans="1:18" x14ac:dyDescent="0.25">
      <c r="A38">
        <f t="shared" si="2"/>
        <v>103</v>
      </c>
      <c r="B38">
        <v>34</v>
      </c>
      <c r="C38" s="12">
        <f t="shared" si="3"/>
        <v>0.33396199999999998</v>
      </c>
      <c r="D38" s="10">
        <f t="shared" si="4"/>
        <v>0.66603800000000002</v>
      </c>
      <c r="E38" s="198">
        <f>IF(B38&lt;=$C$2,1,IF(B38=$C$2+1,PRODUCT($D$5:D38),E37*D38))</f>
        <v>1.4803928499959453E-2</v>
      </c>
      <c r="F38" s="10">
        <f t="shared" si="0"/>
        <v>0.26355208955638215</v>
      </c>
      <c r="G38" s="10">
        <f t="shared" si="5"/>
        <v>3.9016062898075917E-3</v>
      </c>
      <c r="I38" s="13">
        <f t="shared" si="1"/>
        <v>74.019642499797271</v>
      </c>
      <c r="J38" s="11">
        <f>(SUM(G39:$G$79)*$I$1)</f>
        <v>29.087957205447349</v>
      </c>
      <c r="K38" s="11">
        <f t="shared" si="6"/>
        <v>-19.508031449037961</v>
      </c>
      <c r="Q38" s="65">
        <v>34</v>
      </c>
      <c r="R38" s="66">
        <f>Inputs!H41</f>
        <v>7.5600000000000005E-4</v>
      </c>
    </row>
    <row r="39" spans="1:18" x14ac:dyDescent="0.25">
      <c r="A39">
        <f t="shared" si="2"/>
        <v>104</v>
      </c>
      <c r="B39">
        <v>35</v>
      </c>
      <c r="C39" s="12">
        <f t="shared" si="3"/>
        <v>0.356207</v>
      </c>
      <c r="D39" s="10">
        <f t="shared" si="4"/>
        <v>0.64379300000000006</v>
      </c>
      <c r="E39" s="198">
        <f>IF(B39&lt;=$C$2,1,IF(B39=$C$2+1,PRODUCT($D$5:D39),E38*D39))</f>
        <v>9.5306655407743964E-3</v>
      </c>
      <c r="F39" s="10">
        <f t="shared" si="0"/>
        <v>0.25341547072729048</v>
      </c>
      <c r="G39" s="10">
        <f t="shared" si="5"/>
        <v>2.4152180943597104E-3</v>
      </c>
      <c r="I39" s="13">
        <f t="shared" si="1"/>
        <v>47.65332770387198</v>
      </c>
      <c r="J39" s="11">
        <f>(SUM(G40:$G$79)*$I$1)</f>
        <v>17.011866733648802</v>
      </c>
      <c r="K39" s="11">
        <f t="shared" si="6"/>
        <v>-12.076090471798548</v>
      </c>
      <c r="Q39" s="65">
        <v>35</v>
      </c>
      <c r="R39" s="66">
        <f>Inputs!H42</f>
        <v>7.5600000000000005E-4</v>
      </c>
    </row>
    <row r="40" spans="1:18" x14ac:dyDescent="0.25">
      <c r="A40">
        <f t="shared" si="2"/>
        <v>105</v>
      </c>
      <c r="B40">
        <v>36</v>
      </c>
      <c r="C40" s="12">
        <f t="shared" si="3"/>
        <v>0.38</v>
      </c>
      <c r="D40" s="10">
        <f t="shared" si="4"/>
        <v>0.62</v>
      </c>
      <c r="E40" s="198">
        <f>IF(B40&lt;=$C$2,1,IF(B40=$C$2+1,PRODUCT($D$5:D40),E39*D40))</f>
        <v>5.9090126352801253E-3</v>
      </c>
      <c r="F40" s="10">
        <f t="shared" si="0"/>
        <v>0.24366872185316396</v>
      </c>
      <c r="G40" s="10">
        <f t="shared" si="5"/>
        <v>1.4398415562529043E-3</v>
      </c>
      <c r="I40" s="13">
        <f t="shared" si="1"/>
        <v>29.545063176400628</v>
      </c>
      <c r="J40" s="11">
        <f>(SUM(G41:$G$79)*$I$1)</f>
        <v>9.8126589523842771</v>
      </c>
      <c r="K40" s="11">
        <f t="shared" si="6"/>
        <v>-7.1992077812645245</v>
      </c>
      <c r="Q40" s="65">
        <v>36</v>
      </c>
      <c r="R40" s="66">
        <f>Inputs!H43</f>
        <v>7.5600000000000005E-4</v>
      </c>
    </row>
    <row r="41" spans="1:18" x14ac:dyDescent="0.25">
      <c r="A41">
        <f t="shared" si="2"/>
        <v>106</v>
      </c>
      <c r="B41">
        <v>37</v>
      </c>
      <c r="C41" s="12">
        <f t="shared" si="3"/>
        <v>0.4</v>
      </c>
      <c r="D41" s="10">
        <f t="shared" si="4"/>
        <v>0.6</v>
      </c>
      <c r="E41" s="198">
        <f>IF(B41&lt;=$C$2,1,IF(B41=$C$2+1,PRODUCT($D$5:D41),E40*D41))</f>
        <v>3.545407581168075E-3</v>
      </c>
      <c r="F41" s="10">
        <f t="shared" si="0"/>
        <v>0.23429684793573452</v>
      </c>
      <c r="G41" s="10">
        <f t="shared" si="5"/>
        <v>8.306778209151368E-4</v>
      </c>
      <c r="I41" s="13">
        <f t="shared" si="1"/>
        <v>17.727037905840376</v>
      </c>
      <c r="J41" s="11">
        <f>(SUM(G42:$G$79)*$I$1)</f>
        <v>5.6592698478085941</v>
      </c>
      <c r="K41" s="11">
        <f t="shared" si="6"/>
        <v>-4.153389104575683</v>
      </c>
      <c r="Q41" s="65">
        <v>37</v>
      </c>
      <c r="R41" s="66">
        <f>Inputs!H44</f>
        <v>7.5600000000000005E-4</v>
      </c>
    </row>
    <row r="42" spans="1:18" x14ac:dyDescent="0.25">
      <c r="A42">
        <f t="shared" si="2"/>
        <v>107</v>
      </c>
      <c r="B42">
        <v>38</v>
      </c>
      <c r="C42" s="12">
        <f t="shared" si="3"/>
        <v>0.4</v>
      </c>
      <c r="D42" s="10">
        <f t="shared" si="4"/>
        <v>0.6</v>
      </c>
      <c r="E42" s="198">
        <f>IF(B42&lt;=$C$2,1,IF(B42=$C$2+1,PRODUCT($D$5:D42),E41*D42))</f>
        <v>2.1272445487008451E-3</v>
      </c>
      <c r="F42" s="10">
        <f t="shared" si="0"/>
        <v>0.22528543070743706</v>
      </c>
      <c r="G42" s="10">
        <f t="shared" si="5"/>
        <v>4.7923720437411749E-4</v>
      </c>
      <c r="I42" s="13">
        <f t="shared" si="1"/>
        <v>10.636222743504225</v>
      </c>
      <c r="J42" s="11">
        <f>(SUM(G43:$G$79)*$I$1)</f>
        <v>3.2630838259380082</v>
      </c>
      <c r="K42" s="11">
        <f t="shared" si="6"/>
        <v>-2.3961860218705859</v>
      </c>
      <c r="Q42" s="65">
        <v>38</v>
      </c>
      <c r="R42" s="66">
        <f>Inputs!H45</f>
        <v>7.5600000000000005E-4</v>
      </c>
    </row>
    <row r="43" spans="1:18" x14ac:dyDescent="0.25">
      <c r="A43">
        <f t="shared" si="2"/>
        <v>108</v>
      </c>
      <c r="B43">
        <v>39</v>
      </c>
      <c r="C43" s="12">
        <f t="shared" si="3"/>
        <v>0.4</v>
      </c>
      <c r="D43" s="10">
        <f t="shared" si="4"/>
        <v>0.6</v>
      </c>
      <c r="E43" s="198">
        <f>IF(B43&lt;=$C$2,1,IF(B43=$C$2+1,PRODUCT($D$5:D43),E42*D43))</f>
        <v>1.2763467292205069E-3</v>
      </c>
      <c r="F43" s="10">
        <f t="shared" si="0"/>
        <v>0.21662060644945874</v>
      </c>
      <c r="G43" s="10">
        <f t="shared" si="5"/>
        <v>2.7648300252352929E-4</v>
      </c>
      <c r="I43" s="13">
        <f t="shared" si="1"/>
        <v>6.3817336461025347</v>
      </c>
      <c r="J43" s="11">
        <f>(SUM(G44:$G$79)*$I$1)</f>
        <v>1.880668813320362</v>
      </c>
      <c r="K43" s="11">
        <f t="shared" si="6"/>
        <v>-1.3824150126176462</v>
      </c>
      <c r="Q43" s="65">
        <v>39</v>
      </c>
      <c r="R43" s="66">
        <f>Inputs!H46</f>
        <v>8.0000000000000004E-4</v>
      </c>
    </row>
    <row r="44" spans="1:18" x14ac:dyDescent="0.25">
      <c r="A44">
        <f t="shared" si="2"/>
        <v>109</v>
      </c>
      <c r="B44">
        <v>40</v>
      </c>
      <c r="C44" s="12">
        <f t="shared" si="3"/>
        <v>0.4</v>
      </c>
      <c r="D44" s="10">
        <f t="shared" si="4"/>
        <v>0.6</v>
      </c>
      <c r="E44" s="198">
        <f>IF(B44&lt;=$C$2,1,IF(B44=$C$2+1,PRODUCT($D$5:D44),E43*D44))</f>
        <v>7.6580803753230418E-4</v>
      </c>
      <c r="F44" s="10">
        <f t="shared" si="0"/>
        <v>0.20828904466294101</v>
      </c>
      <c r="G44" s="10">
        <f t="shared" si="5"/>
        <v>1.5950942453280532E-4</v>
      </c>
      <c r="I44" s="13">
        <f t="shared" si="1"/>
        <v>3.829040187661521</v>
      </c>
      <c r="J44" s="11">
        <f>(SUM(G45:$G$79)*$I$1)</f>
        <v>1.0831216906563348</v>
      </c>
      <c r="K44" s="11">
        <f t="shared" si="6"/>
        <v>-0.79754712266402716</v>
      </c>
      <c r="Q44" s="65">
        <v>40</v>
      </c>
      <c r="R44" s="66">
        <f>Inputs!H47</f>
        <v>8.5899999999999995E-4</v>
      </c>
    </row>
    <row r="45" spans="1:18" x14ac:dyDescent="0.25">
      <c r="A45">
        <f t="shared" si="2"/>
        <v>110</v>
      </c>
      <c r="B45">
        <v>41</v>
      </c>
      <c r="C45" s="12">
        <f t="shared" si="3"/>
        <v>0.4</v>
      </c>
      <c r="D45" s="10">
        <f t="shared" si="4"/>
        <v>0.6</v>
      </c>
      <c r="E45" s="198">
        <f>IF(B45&lt;=$C$2,1,IF(B45=$C$2+1,PRODUCT($D$5:D45),E44*D45))</f>
        <v>4.5948482251938249E-4</v>
      </c>
      <c r="F45" s="10">
        <f t="shared" si="0"/>
        <v>0.20027792756052021</v>
      </c>
      <c r="G45" s="10">
        <f t="shared" si="5"/>
        <v>9.2024667999695365E-5</v>
      </c>
      <c r="I45" s="13">
        <f t="shared" si="1"/>
        <v>2.2974241125969126</v>
      </c>
      <c r="J45" s="11">
        <f>(SUM(G46:$G$79)*$I$1)</f>
        <v>0.62299835065785791</v>
      </c>
      <c r="K45" s="11">
        <f t="shared" si="6"/>
        <v>-0.46012333999847688</v>
      </c>
      <c r="Q45" s="65">
        <v>41</v>
      </c>
      <c r="R45" s="66">
        <f>Inputs!H48</f>
        <v>9.2599999999999996E-4</v>
      </c>
    </row>
    <row r="46" spans="1:18" x14ac:dyDescent="0.25">
      <c r="A46">
        <f t="shared" si="2"/>
        <v>111</v>
      </c>
      <c r="B46">
        <v>42</v>
      </c>
      <c r="C46" s="12">
        <f t="shared" si="3"/>
        <v>0.4</v>
      </c>
      <c r="D46" s="10">
        <f t="shared" si="4"/>
        <v>0.6</v>
      </c>
      <c r="E46" s="198">
        <f>IF(B46&lt;=$C$2,1,IF(B46=$C$2+1,PRODUCT($D$5:D46),E45*D46))</f>
        <v>2.7569089351162947E-4</v>
      </c>
      <c r="F46" s="10">
        <f t="shared" si="0"/>
        <v>0.19257493034665407</v>
      </c>
      <c r="G46" s="10">
        <f t="shared" si="5"/>
        <v>5.3091154615208871E-5</v>
      </c>
      <c r="I46" s="13">
        <f t="shared" si="1"/>
        <v>1.3784544675581474</v>
      </c>
      <c r="J46" s="11">
        <f>(SUM(G47:$G$79)*$I$1)</f>
        <v>0.35754257758181357</v>
      </c>
      <c r="K46" s="11">
        <f t="shared" si="6"/>
        <v>-0.26545577307604434</v>
      </c>
      <c r="Q46" s="65">
        <v>42</v>
      </c>
      <c r="R46" s="66">
        <f>Inputs!H49</f>
        <v>9.990000000000001E-4</v>
      </c>
    </row>
    <row r="47" spans="1:18" x14ac:dyDescent="0.25">
      <c r="A47">
        <f t="shared" si="2"/>
        <v>112</v>
      </c>
      <c r="B47">
        <v>43</v>
      </c>
      <c r="C47" s="12">
        <f t="shared" si="3"/>
        <v>0.4</v>
      </c>
      <c r="D47" s="10">
        <f t="shared" si="4"/>
        <v>0.6</v>
      </c>
      <c r="E47" s="198">
        <f>IF(B47&lt;=$C$2,1,IF(B47=$C$2+1,PRODUCT($D$5:D47),E46*D47))</f>
        <v>1.6541453610697767E-4</v>
      </c>
      <c r="F47" s="10">
        <f t="shared" si="0"/>
        <v>0.18516820225639813</v>
      </c>
      <c r="G47" s="10">
        <f t="shared" si="5"/>
        <v>3.0629512278005112E-5</v>
      </c>
      <c r="I47" s="13">
        <f t="shared" si="1"/>
        <v>0.82707268053488836</v>
      </c>
      <c r="J47" s="11">
        <f>(SUM(G48:$G$79)*$I$1)</f>
        <v>0.20439501619178807</v>
      </c>
      <c r="K47" s="11">
        <f t="shared" si="6"/>
        <v>-0.1531475613900255</v>
      </c>
      <c r="Q47" s="65">
        <v>43</v>
      </c>
      <c r="R47" s="66">
        <f>Inputs!H50</f>
        <v>1.0690000000000001E-3</v>
      </c>
    </row>
    <row r="48" spans="1:18" x14ac:dyDescent="0.25">
      <c r="A48">
        <f t="shared" si="2"/>
        <v>113</v>
      </c>
      <c r="B48">
        <v>44</v>
      </c>
      <c r="C48" s="12">
        <f t="shared" si="3"/>
        <v>0.4</v>
      </c>
      <c r="D48" s="10">
        <f t="shared" si="4"/>
        <v>0.6</v>
      </c>
      <c r="E48" s="198">
        <f>IF(B48&lt;=$C$2,1,IF(B48=$C$2+1,PRODUCT($D$5:D48),E47*D48))</f>
        <v>9.9248721664186603E-5</v>
      </c>
      <c r="F48" s="10">
        <f t="shared" si="0"/>
        <v>0.17804634832345972</v>
      </c>
      <c r="G48" s="10">
        <f t="shared" si="5"/>
        <v>1.767087246807987E-5</v>
      </c>
      <c r="I48" s="13">
        <f t="shared" si="1"/>
        <v>0.49624360832093301</v>
      </c>
      <c r="J48" s="11">
        <f>(SUM(G49:$G$79)*$I$1)</f>
        <v>0.11604065385138872</v>
      </c>
      <c r="K48" s="11">
        <f t="shared" si="6"/>
        <v>-8.8354362340399353E-2</v>
      </c>
      <c r="Q48" s="65">
        <v>44</v>
      </c>
      <c r="R48" s="66">
        <f>Inputs!H51</f>
        <v>1.142E-3</v>
      </c>
    </row>
    <row r="49" spans="1:18" x14ac:dyDescent="0.25">
      <c r="A49">
        <f t="shared" si="2"/>
        <v>114</v>
      </c>
      <c r="B49">
        <v>45</v>
      </c>
      <c r="C49" s="12">
        <f t="shared" si="3"/>
        <v>0.4</v>
      </c>
      <c r="D49" s="10">
        <f t="shared" si="4"/>
        <v>0.6</v>
      </c>
      <c r="E49" s="198">
        <f>IF(B49&lt;=$C$2,1,IF(B49=$C$2+1,PRODUCT($D$5:D49),E48*D49))</f>
        <v>5.9549232998511959E-5</v>
      </c>
      <c r="F49" s="10">
        <f t="shared" si="0"/>
        <v>0.17119841184948048</v>
      </c>
      <c r="G49" s="10">
        <f t="shared" si="5"/>
        <v>1.0194734116199924E-5</v>
      </c>
      <c r="I49" s="13">
        <f t="shared" si="1"/>
        <v>0.29774616499255979</v>
      </c>
      <c r="J49" s="11">
        <f>(SUM(G50:$G$79)*$I$1)</f>
        <v>6.5066983270389081E-2</v>
      </c>
      <c r="K49" s="11">
        <f t="shared" si="6"/>
        <v>-5.0973670580999636E-2</v>
      </c>
      <c r="Q49" s="65">
        <v>45</v>
      </c>
      <c r="R49" s="66">
        <f>Inputs!H52</f>
        <v>1.219E-3</v>
      </c>
    </row>
    <row r="50" spans="1:18" x14ac:dyDescent="0.25">
      <c r="A50">
        <f t="shared" si="2"/>
        <v>115</v>
      </c>
      <c r="B50">
        <v>46</v>
      </c>
      <c r="C50" s="12">
        <f t="shared" si="3"/>
        <v>0.4</v>
      </c>
      <c r="D50" s="10">
        <f t="shared" si="4"/>
        <v>0.6</v>
      </c>
      <c r="E50" s="198">
        <f>IF(B50&lt;=$C$2,1,IF(B50=$C$2+1,PRODUCT($D$5:D50),E49*D50))</f>
        <v>3.5729539799107177E-5</v>
      </c>
      <c r="F50" s="10">
        <f t="shared" si="0"/>
        <v>0.1646138575475774</v>
      </c>
      <c r="G50" s="10">
        <f t="shared" si="5"/>
        <v>5.881577374730726E-6</v>
      </c>
      <c r="I50" s="13">
        <f t="shared" si="1"/>
        <v>0.17864769899553587</v>
      </c>
      <c r="J50" s="11">
        <f>(SUM(G51:$G$79)*$I$1)</f>
        <v>3.5659096396735451E-2</v>
      </c>
      <c r="K50" s="11">
        <f t="shared" si="6"/>
        <v>-2.940788687365363E-2</v>
      </c>
      <c r="Q50" s="65">
        <v>46</v>
      </c>
      <c r="R50" s="66">
        <f>Inputs!H53</f>
        <v>1.3179999999999999E-3</v>
      </c>
    </row>
    <row r="51" spans="1:18" x14ac:dyDescent="0.25">
      <c r="A51">
        <f t="shared" ref="A51:A55" si="7">B51+$A$4</f>
        <v>116</v>
      </c>
      <c r="B51">
        <v>47</v>
      </c>
      <c r="C51" s="12">
        <f t="shared" ref="C51:C55" si="8">VLOOKUP(A51,$Q$4:$R$124,2,FALSE)</f>
        <v>0.4</v>
      </c>
      <c r="D51" s="10">
        <f t="shared" ref="D51:D55" si="9">1-C51</f>
        <v>0.6</v>
      </c>
      <c r="E51" s="198">
        <f>IF(B51&lt;=$C$2,1,IF(B51=$C$2+1,PRODUCT($D$5:D51),E50*D51))</f>
        <v>2.1437723879464307E-5</v>
      </c>
      <c r="F51" s="10">
        <f t="shared" ref="F51:F55" si="10">IF(D51=0,0,(1+$F$2)^-B51)</f>
        <v>0.15828255533420904</v>
      </c>
      <c r="G51" s="10">
        <f t="shared" ref="G51:G55" si="11">F51*E51</f>
        <v>3.3932177161908038E-6</v>
      </c>
      <c r="I51" s="13">
        <f t="shared" ref="I51:I55" si="12">E51*$I$1</f>
        <v>0.10718861939732154</v>
      </c>
      <c r="J51" s="11">
        <f>(SUM(G52:$G$79)*$I$1)</f>
        <v>1.8693007815781433E-2</v>
      </c>
      <c r="K51" s="11">
        <f t="shared" ref="K51:K55" si="13">J51-J50</f>
        <v>-1.6966088580954018E-2</v>
      </c>
      <c r="Q51" s="65">
        <v>47</v>
      </c>
      <c r="R51" s="66">
        <f>Inputs!H54</f>
        <v>1.454E-3</v>
      </c>
    </row>
    <row r="52" spans="1:18" x14ac:dyDescent="0.25">
      <c r="A52">
        <f t="shared" si="7"/>
        <v>117</v>
      </c>
      <c r="B52">
        <v>48</v>
      </c>
      <c r="C52" s="12">
        <f t="shared" si="8"/>
        <v>0.4</v>
      </c>
      <c r="D52" s="10">
        <f t="shared" si="9"/>
        <v>0.6</v>
      </c>
      <c r="E52" s="198">
        <f>IF(B52&lt;=$C$2,1,IF(B52=$C$2+1,PRODUCT($D$5:D52),E51*D52))</f>
        <v>1.2862634327678584E-5</v>
      </c>
      <c r="F52" s="10">
        <f t="shared" si="10"/>
        <v>0.15219476474443175</v>
      </c>
      <c r="G52" s="10">
        <f t="shared" si="11"/>
        <v>1.9576256054946941E-6</v>
      </c>
      <c r="I52" s="13">
        <f t="shared" si="12"/>
        <v>6.4313171638392924E-2</v>
      </c>
      <c r="J52" s="11">
        <f>(SUM(G53:$G$79)*$I$1)</f>
        <v>8.9048797883079633E-3</v>
      </c>
      <c r="K52" s="11">
        <f t="shared" si="13"/>
        <v>-9.7881280274734698E-3</v>
      </c>
      <c r="Q52" s="65">
        <v>48</v>
      </c>
      <c r="R52" s="66">
        <f>Inputs!H55</f>
        <v>1.627E-3</v>
      </c>
    </row>
    <row r="53" spans="1:18" x14ac:dyDescent="0.25">
      <c r="A53">
        <f t="shared" si="7"/>
        <v>118</v>
      </c>
      <c r="B53">
        <v>49</v>
      </c>
      <c r="C53" s="12">
        <f t="shared" si="8"/>
        <v>0.4</v>
      </c>
      <c r="D53" s="10">
        <f t="shared" si="9"/>
        <v>0.6</v>
      </c>
      <c r="E53" s="198">
        <f>IF(B53&lt;=$C$2,1,IF(B53=$C$2+1,PRODUCT($D$5:D53),E52*D53))</f>
        <v>7.7175805966071506E-6</v>
      </c>
      <c r="F53" s="10">
        <f t="shared" si="10"/>
        <v>0.14634111994656898</v>
      </c>
      <c r="G53" s="10">
        <f t="shared" si="11"/>
        <v>1.1293993877854004E-6</v>
      </c>
      <c r="I53" s="13">
        <f t="shared" si="12"/>
        <v>3.858790298303575E-2</v>
      </c>
      <c r="J53" s="11">
        <f>(SUM(G54:$G$79)*$I$1)</f>
        <v>3.257882849380962E-3</v>
      </c>
      <c r="K53" s="11">
        <f t="shared" si="13"/>
        <v>-5.6469969389270017E-3</v>
      </c>
      <c r="Q53" s="65">
        <v>49</v>
      </c>
      <c r="R53" s="66">
        <f>Inputs!H56</f>
        <v>1.8289999999999999E-3</v>
      </c>
    </row>
    <row r="54" spans="1:18" x14ac:dyDescent="0.25">
      <c r="A54">
        <f t="shared" si="7"/>
        <v>119</v>
      </c>
      <c r="B54">
        <v>50</v>
      </c>
      <c r="C54" s="12">
        <f t="shared" si="8"/>
        <v>0.4</v>
      </c>
      <c r="D54" s="10">
        <f t="shared" si="9"/>
        <v>0.6</v>
      </c>
      <c r="E54" s="198">
        <f>IF(B54&lt;=$C$2,1,IF(B54=$C$2+1,PRODUCT($D$5:D54),E53*D54))</f>
        <v>4.6305483579642902E-6</v>
      </c>
      <c r="F54" s="10">
        <f t="shared" si="10"/>
        <v>0.14071261533323939</v>
      </c>
      <c r="G54" s="10">
        <f t="shared" si="11"/>
        <v>6.5157656987619244E-7</v>
      </c>
      <c r="I54" s="13">
        <f t="shared" si="12"/>
        <v>2.3152741789821452E-2</v>
      </c>
      <c r="J54" s="11">
        <f>(SUM(G55:$G$79)*$I$1)</f>
        <v>0</v>
      </c>
      <c r="K54" s="11">
        <f t="shared" si="13"/>
        <v>-3.257882849380962E-3</v>
      </c>
      <c r="Q54" s="65">
        <v>50</v>
      </c>
      <c r="R54" s="66">
        <f>Inputs!H57</f>
        <v>2.0569999999999998E-3</v>
      </c>
    </row>
    <row r="55" spans="1:18" x14ac:dyDescent="0.25">
      <c r="A55">
        <f t="shared" si="7"/>
        <v>120</v>
      </c>
      <c r="B55">
        <v>51</v>
      </c>
      <c r="C55" s="12">
        <f t="shared" si="8"/>
        <v>1</v>
      </c>
      <c r="D55" s="10">
        <f t="shared" si="9"/>
        <v>0</v>
      </c>
      <c r="E55" s="198">
        <f>IF(B55&lt;=$C$2,1,IF(B55=$C$2+1,PRODUCT($D$5:D55),E54*D55))</f>
        <v>0</v>
      </c>
      <c r="F55" s="10">
        <f t="shared" si="10"/>
        <v>0</v>
      </c>
      <c r="G55" s="10">
        <f t="shared" si="11"/>
        <v>0</v>
      </c>
      <c r="I55" s="13">
        <f t="shared" si="12"/>
        <v>0</v>
      </c>
      <c r="J55" s="11">
        <f>(SUM(G56:$G$79)*$I$1)</f>
        <v>0</v>
      </c>
      <c r="K55" s="11">
        <f t="shared" si="13"/>
        <v>0</v>
      </c>
      <c r="Q55" s="65">
        <v>51</v>
      </c>
      <c r="R55" s="66">
        <f>Inputs!H58</f>
        <v>2.3019999999999998E-3</v>
      </c>
    </row>
    <row r="56" spans="1:18" x14ac:dyDescent="0.25">
      <c r="C56" s="12"/>
      <c r="D56" s="10"/>
      <c r="E56" s="198"/>
      <c r="F56" s="10"/>
      <c r="G56" s="10"/>
      <c r="I56" s="13"/>
      <c r="J56" s="11"/>
      <c r="K56" s="11"/>
      <c r="Q56" s="65">
        <v>52</v>
      </c>
      <c r="R56" s="66">
        <f>Inputs!H59</f>
        <v>2.545E-3</v>
      </c>
    </row>
    <row r="57" spans="1:18" x14ac:dyDescent="0.25">
      <c r="C57" s="12"/>
      <c r="D57" s="10"/>
      <c r="E57" s="198"/>
      <c r="F57" s="10"/>
      <c r="G57" s="10"/>
      <c r="I57" s="13"/>
      <c r="J57" s="11"/>
      <c r="K57" s="11"/>
      <c r="Q57" s="65">
        <v>53</v>
      </c>
      <c r="R57" s="66">
        <f>Inputs!H60</f>
        <v>2.7789999999999998E-3</v>
      </c>
    </row>
    <row r="58" spans="1:18" x14ac:dyDescent="0.25">
      <c r="C58" s="12"/>
      <c r="D58" s="10"/>
      <c r="E58" s="198"/>
      <c r="F58" s="10"/>
      <c r="G58" s="10"/>
      <c r="I58" s="13"/>
      <c r="J58" s="11"/>
      <c r="K58" s="11"/>
      <c r="Q58" s="65">
        <v>54</v>
      </c>
      <c r="R58" s="66">
        <f>Inputs!H61</f>
        <v>3.0109999999999998E-3</v>
      </c>
    </row>
    <row r="59" spans="1:18" x14ac:dyDescent="0.25">
      <c r="C59" s="12"/>
      <c r="D59" s="10"/>
      <c r="E59" s="198"/>
      <c r="F59" s="10"/>
      <c r="G59" s="10"/>
      <c r="I59" s="13"/>
      <c r="J59" s="11"/>
      <c r="K59" s="11"/>
      <c r="Q59" s="65">
        <v>55</v>
      </c>
      <c r="R59" s="66">
        <f>Inputs!H62</f>
        <v>3.2539999999999999E-3</v>
      </c>
    </row>
    <row r="60" spans="1:18" x14ac:dyDescent="0.25">
      <c r="C60" s="12"/>
      <c r="D60" s="10"/>
      <c r="E60" s="198"/>
      <c r="F60" s="10"/>
      <c r="G60" s="10"/>
      <c r="I60" s="13"/>
      <c r="J60" s="11"/>
      <c r="K60" s="11"/>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D126" s="35"/>
      <c r="E126" s="35"/>
    </row>
    <row r="127" spans="3:18" x14ac:dyDescent="0.25">
      <c r="D127" s="35"/>
      <c r="E127" s="35"/>
    </row>
    <row r="128" spans="3:18" x14ac:dyDescent="0.25">
      <c r="D128" s="35"/>
      <c r="E128" s="35"/>
    </row>
    <row r="129" spans="3:5" x14ac:dyDescent="0.25">
      <c r="D129" s="35"/>
      <c r="E129" s="35"/>
    </row>
    <row r="130" spans="3:5" x14ac:dyDescent="0.25">
      <c r="D130" s="35"/>
      <c r="E130" s="35"/>
    </row>
    <row r="131" spans="3:5" x14ac:dyDescent="0.25">
      <c r="D131" s="35"/>
      <c r="E131" s="35"/>
    </row>
    <row r="132" spans="3:5" x14ac:dyDescent="0.25">
      <c r="D132" s="35"/>
      <c r="E132" s="35"/>
    </row>
    <row r="134" spans="3:5" x14ac:dyDescent="0.25">
      <c r="C134" s="25"/>
    </row>
    <row r="135" spans="3:5" x14ac:dyDescent="0.25">
      <c r="C135" s="25"/>
    </row>
    <row r="136" spans="3:5" x14ac:dyDescent="0.25">
      <c r="C136" s="25"/>
    </row>
    <row r="137" spans="3:5" x14ac:dyDescent="0.25">
      <c r="C137" s="25"/>
    </row>
    <row r="138" spans="3:5" x14ac:dyDescent="0.25">
      <c r="C138" s="25"/>
    </row>
    <row r="139" spans="3:5" x14ac:dyDescent="0.25">
      <c r="C139" s="25"/>
    </row>
    <row r="140" spans="3:5" x14ac:dyDescent="0.25">
      <c r="C140" s="25"/>
    </row>
    <row r="141" spans="3:5" x14ac:dyDescent="0.25">
      <c r="C141" s="25"/>
    </row>
    <row r="142" spans="3:5" x14ac:dyDescent="0.25">
      <c r="C142" s="25"/>
    </row>
    <row r="143" spans="3:5" x14ac:dyDescent="0.25">
      <c r="C143" s="25"/>
    </row>
    <row r="144" spans="3:5"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60">
    <cfRule type="cellIs" dxfId="26"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B103" workbookViewId="0">
      <selection activeCell="D125" sqref="D125:F132"/>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141</v>
      </c>
      <c r="I1" s="3">
        <v>5000</v>
      </c>
      <c r="J1" s="181" t="s">
        <v>173</v>
      </c>
      <c r="L1" s="1"/>
      <c r="M1" s="4"/>
      <c r="N1" s="4"/>
      <c r="O1" s="4"/>
      <c r="P1" s="4"/>
      <c r="Q1" s="64"/>
      <c r="R1" s="28"/>
    </row>
    <row r="2" spans="1:18" ht="15.75" customHeight="1" thickBot="1" x14ac:dyDescent="0.3">
      <c r="B2" t="s">
        <v>227</v>
      </c>
      <c r="C2">
        <v>15</v>
      </c>
      <c r="F2" s="5">
        <f>'Asset and Liability Durations'!N16</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9.3998952011576762</v>
      </c>
      <c r="N3" s="10"/>
      <c r="O3" s="10"/>
      <c r="P3" s="10"/>
      <c r="Q3" s="31"/>
      <c r="R3" s="32"/>
    </row>
    <row r="4" spans="1:18" x14ac:dyDescent="0.25">
      <c r="A4">
        <v>69</v>
      </c>
      <c r="B4">
        <v>0</v>
      </c>
      <c r="C4" s="8"/>
      <c r="D4" s="7"/>
      <c r="E4" s="7"/>
      <c r="F4" s="7"/>
      <c r="G4" s="10">
        <v>1</v>
      </c>
      <c r="J4" s="11">
        <f>(SUM(G5:$G$79)*$I$1)</f>
        <v>66497.726083701724</v>
      </c>
      <c r="Q4" s="65">
        <v>0</v>
      </c>
      <c r="R4" s="66">
        <f>Inputs!H7</f>
        <v>1.6050000000000001E-3</v>
      </c>
    </row>
    <row r="5" spans="1:18" ht="15.75" thickBot="1" x14ac:dyDescent="0.3">
      <c r="A5">
        <f>B5+$A$4</f>
        <v>70</v>
      </c>
      <c r="B5">
        <v>1</v>
      </c>
      <c r="C5" s="12">
        <f>VLOOKUP(A5,$Q$4:$R$124,2,FALSE)</f>
        <v>1.1357000000000001E-2</v>
      </c>
      <c r="D5" s="10">
        <f>1-C5</f>
        <v>0.98864300000000005</v>
      </c>
      <c r="E5" s="198">
        <f>IF(B5&lt;=$C$2,1,IF(B5=$C$2+1,PRODUCT($D$5:D5),E4*D5))</f>
        <v>1</v>
      </c>
      <c r="F5" s="10">
        <f t="shared" ref="F5:F55" si="0">IF(D5=0,0,(1+$F$2)^-B5)</f>
        <v>0.96153846153846145</v>
      </c>
      <c r="G5" s="10">
        <f>F5*E5</f>
        <v>0.96153846153846145</v>
      </c>
      <c r="I5" s="13">
        <f t="shared" ref="I5:I55" si="1">E5*$I$1</f>
        <v>5000</v>
      </c>
      <c r="J5" s="11">
        <f>(SUM(G6:$G$79)*$I$1)</f>
        <v>61690.033776009404</v>
      </c>
      <c r="K5" s="11">
        <f>J5-J4</f>
        <v>-4807.6923076923194</v>
      </c>
      <c r="L5" s="14" t="s">
        <v>16</v>
      </c>
      <c r="M5" s="14" t="s">
        <v>17</v>
      </c>
      <c r="N5" s="14" t="s">
        <v>18</v>
      </c>
      <c r="O5" s="14" t="s">
        <v>47</v>
      </c>
      <c r="Q5" s="65">
        <v>1</v>
      </c>
      <c r="R5" s="66">
        <f>Inputs!H8</f>
        <v>4.0099999999999999E-4</v>
      </c>
    </row>
    <row r="6" spans="1:18" x14ac:dyDescent="0.25">
      <c r="A6">
        <f t="shared" ref="A6:A55" si="2">B6+$A$4</f>
        <v>71</v>
      </c>
      <c r="B6">
        <v>2</v>
      </c>
      <c r="C6" s="12">
        <f t="shared" ref="C6:C55" si="3">VLOOKUP(A6,$Q$4:$R$124,2,FALSE)</f>
        <v>1.2418E-2</v>
      </c>
      <c r="D6" s="10">
        <f t="shared" ref="D6:D55" si="4">1-C6</f>
        <v>0.98758199999999996</v>
      </c>
      <c r="E6" s="198">
        <f>IF(B6&lt;=$C$2,1,IF(B6=$C$2+1,PRODUCT($D$5:D6),E5*D6))</f>
        <v>1</v>
      </c>
      <c r="F6" s="10">
        <f t="shared" si="0"/>
        <v>0.92455621301775137</v>
      </c>
      <c r="G6" s="10">
        <f t="shared" ref="G6:G55" si="5">F6*E6</f>
        <v>0.92455621301775137</v>
      </c>
      <c r="I6" s="13">
        <f t="shared" si="1"/>
        <v>5000</v>
      </c>
      <c r="J6" s="11">
        <f>(SUM(G7:$G$79)*$I$1)</f>
        <v>57067.252710920649</v>
      </c>
      <c r="K6" s="11">
        <f t="shared" ref="K6:K55" si="6">J6-J5</f>
        <v>-4622.781065088755</v>
      </c>
      <c r="L6" s="14">
        <v>2</v>
      </c>
      <c r="M6" s="54" t="s">
        <v>44</v>
      </c>
      <c r="N6" s="15">
        <f>SUM(I5:I7)</f>
        <v>15000</v>
      </c>
      <c r="O6" s="16">
        <f>N6/SUM($N$6:$N$9)</f>
        <v>0.15088032450419475</v>
      </c>
      <c r="Q6" s="65">
        <v>2</v>
      </c>
      <c r="R6" s="66">
        <f>Inputs!H9</f>
        <v>2.7500000000000002E-4</v>
      </c>
    </row>
    <row r="7" spans="1:18" x14ac:dyDescent="0.25">
      <c r="A7">
        <f t="shared" si="2"/>
        <v>72</v>
      </c>
      <c r="B7">
        <v>3</v>
      </c>
      <c r="C7" s="12">
        <f t="shared" si="3"/>
        <v>1.3675E-2</v>
      </c>
      <c r="D7" s="10">
        <f t="shared" si="4"/>
        <v>0.98632500000000001</v>
      </c>
      <c r="E7" s="198">
        <f>IF(B7&lt;=$C$2,1,IF(B7=$C$2+1,PRODUCT($D$5:D7),E6*D7))</f>
        <v>1</v>
      </c>
      <c r="F7" s="10">
        <f t="shared" si="0"/>
        <v>0.88899635867091487</v>
      </c>
      <c r="G7" s="10">
        <f t="shared" si="5"/>
        <v>0.88899635867091487</v>
      </c>
      <c r="I7" s="13">
        <f t="shared" si="1"/>
        <v>5000</v>
      </c>
      <c r="J7" s="11">
        <f>(SUM(G8:$G$79)*$I$1)</f>
        <v>52622.270917566071</v>
      </c>
      <c r="K7" s="11">
        <f t="shared" si="6"/>
        <v>-4444.9817933545783</v>
      </c>
      <c r="L7" s="14">
        <v>5</v>
      </c>
      <c r="M7" s="19" t="s">
        <v>45</v>
      </c>
      <c r="N7" s="17">
        <f>SUM(I8:I11)</f>
        <v>20000</v>
      </c>
      <c r="O7" s="18">
        <f>N7/SUM($N$6:$N$9)</f>
        <v>0.201173766005593</v>
      </c>
      <c r="Q7" s="65">
        <v>3</v>
      </c>
      <c r="R7" s="66">
        <f>Inputs!H10</f>
        <v>2.2900000000000001E-4</v>
      </c>
    </row>
    <row r="8" spans="1:18" x14ac:dyDescent="0.25">
      <c r="A8">
        <f t="shared" si="2"/>
        <v>73</v>
      </c>
      <c r="B8">
        <v>4</v>
      </c>
      <c r="C8" s="12">
        <f t="shared" si="3"/>
        <v>1.515E-2</v>
      </c>
      <c r="D8" s="10">
        <f t="shared" si="4"/>
        <v>0.98485</v>
      </c>
      <c r="E8" s="198">
        <f>IF(B8&lt;=$C$2,1,IF(B8=$C$2+1,PRODUCT($D$5:D8),E7*D8))</f>
        <v>1</v>
      </c>
      <c r="F8" s="10">
        <f t="shared" si="0"/>
        <v>0.85480419102972571</v>
      </c>
      <c r="G8" s="10">
        <f>F8*E8</f>
        <v>0.85480419102972571</v>
      </c>
      <c r="I8" s="13">
        <f t="shared" si="1"/>
        <v>5000</v>
      </c>
      <c r="J8" s="11">
        <f>(SUM(G9:$G$79)*$I$1)</f>
        <v>48348.249962417445</v>
      </c>
      <c r="K8" s="11">
        <f t="shared" si="6"/>
        <v>-4274.0209551486259</v>
      </c>
      <c r="L8" s="14">
        <v>10</v>
      </c>
      <c r="M8" s="19" t="s">
        <v>46</v>
      </c>
      <c r="N8" s="17">
        <f>SUM(I12:I19)</f>
        <v>40000</v>
      </c>
      <c r="O8" s="18">
        <f>N8/SUM($N$6:$N$9)</f>
        <v>0.402347532011186</v>
      </c>
      <c r="Q8" s="65">
        <v>4</v>
      </c>
      <c r="R8" s="66">
        <f>Inputs!H11</f>
        <v>1.74E-4</v>
      </c>
    </row>
    <row r="9" spans="1:18" ht="15.75" thickBot="1" x14ac:dyDescent="0.3">
      <c r="A9">
        <f t="shared" si="2"/>
        <v>74</v>
      </c>
      <c r="B9">
        <v>5</v>
      </c>
      <c r="C9" s="12">
        <f t="shared" si="3"/>
        <v>1.686E-2</v>
      </c>
      <c r="D9" s="10">
        <f t="shared" si="4"/>
        <v>0.98314000000000001</v>
      </c>
      <c r="E9" s="198">
        <f>IF(B9&lt;=$C$2,1,IF(B9=$C$2+1,PRODUCT($D$5:D9),E8*D9))</f>
        <v>1</v>
      </c>
      <c r="F9" s="10">
        <f t="shared" si="0"/>
        <v>0.82192710675935154</v>
      </c>
      <c r="G9" s="10">
        <f t="shared" si="5"/>
        <v>0.82192710675935154</v>
      </c>
      <c r="I9" s="13">
        <f t="shared" si="1"/>
        <v>5000</v>
      </c>
      <c r="J9" s="11">
        <f>(SUM(G10:$G$79)*$I$1)</f>
        <v>44238.614428620691</v>
      </c>
      <c r="K9" s="11">
        <f t="shared" si="6"/>
        <v>-4109.6355337967543</v>
      </c>
      <c r="L9" s="14">
        <v>30</v>
      </c>
      <c r="M9" s="20" t="s">
        <v>48</v>
      </c>
      <c r="N9" s="21">
        <f>SUM(I20:I70)</f>
        <v>24416.54121762557</v>
      </c>
      <c r="O9" s="22">
        <f>N9/SUM($N$6:$N$9)</f>
        <v>0.24559837747902616</v>
      </c>
      <c r="Q9" s="65">
        <v>5</v>
      </c>
      <c r="R9" s="66">
        <f>Inputs!H12</f>
        <v>1.6799999999999999E-4</v>
      </c>
    </row>
    <row r="10" spans="1:18" x14ac:dyDescent="0.25">
      <c r="A10">
        <f t="shared" si="2"/>
        <v>75</v>
      </c>
      <c r="B10">
        <v>6</v>
      </c>
      <c r="C10" s="12">
        <f t="shared" si="3"/>
        <v>1.8814999999999998E-2</v>
      </c>
      <c r="D10" s="10">
        <f t="shared" si="4"/>
        <v>0.98118499999999997</v>
      </c>
      <c r="E10" s="198">
        <f>IF(B10&lt;=$C$2,1,IF(B10=$C$2+1,PRODUCT($D$5:D10),E9*D10))</f>
        <v>1</v>
      </c>
      <c r="F10" s="10">
        <f>IF(D10=0,0,(1+$F$2)^-B10)</f>
        <v>0.79031452573014571</v>
      </c>
      <c r="G10" s="10">
        <f t="shared" si="5"/>
        <v>0.79031452573014571</v>
      </c>
      <c r="I10" s="13">
        <f t="shared" si="1"/>
        <v>5000</v>
      </c>
      <c r="J10" s="11">
        <f>(SUM(G11:$G$79)*$I$1)</f>
        <v>40287.041799969978</v>
      </c>
      <c r="K10" s="11">
        <f t="shared" si="6"/>
        <v>-3951.5726286507124</v>
      </c>
      <c r="L10" s="53">
        <f>+SUMPRODUCT(L6:L9,O6:O9)</f>
        <v>12.699056123519</v>
      </c>
      <c r="O10" s="23">
        <f>SUM(O6:O9)</f>
        <v>0.99999999999999989</v>
      </c>
      <c r="Q10" s="65">
        <v>6</v>
      </c>
      <c r="R10" s="66">
        <f>Inputs!H13</f>
        <v>1.65E-4</v>
      </c>
    </row>
    <row r="11" spans="1:18" x14ac:dyDescent="0.25">
      <c r="A11">
        <f t="shared" si="2"/>
        <v>76</v>
      </c>
      <c r="B11">
        <v>7</v>
      </c>
      <c r="C11" s="12">
        <f t="shared" si="3"/>
        <v>2.1031000000000001E-2</v>
      </c>
      <c r="D11" s="10">
        <f t="shared" si="4"/>
        <v>0.97896899999999998</v>
      </c>
      <c r="E11" s="198">
        <f>IF(B11&lt;=$C$2,1,IF(B11=$C$2+1,PRODUCT($D$5:D11),E10*D11))</f>
        <v>1</v>
      </c>
      <c r="F11" s="10">
        <f t="shared" si="0"/>
        <v>0.75991781320206331</v>
      </c>
      <c r="G11" s="10">
        <f t="shared" si="5"/>
        <v>0.75991781320206331</v>
      </c>
      <c r="I11" s="13">
        <f t="shared" si="1"/>
        <v>5000</v>
      </c>
      <c r="J11" s="11">
        <f>(SUM(G12:$G$79)*$I$1)</f>
        <v>36487.452733959668</v>
      </c>
      <c r="K11" s="11">
        <f t="shared" si="6"/>
        <v>-3799.5890660103105</v>
      </c>
      <c r="Q11" s="65">
        <v>7</v>
      </c>
      <c r="R11" s="66">
        <f>Inputs!H14</f>
        <v>1.5899999999999999E-4</v>
      </c>
    </row>
    <row r="12" spans="1:18" x14ac:dyDescent="0.25">
      <c r="A12">
        <f t="shared" si="2"/>
        <v>77</v>
      </c>
      <c r="B12">
        <v>8</v>
      </c>
      <c r="C12" s="12">
        <f t="shared" si="3"/>
        <v>2.3539999999999998E-2</v>
      </c>
      <c r="D12" s="10">
        <f t="shared" si="4"/>
        <v>0.97645999999999999</v>
      </c>
      <c r="E12" s="198">
        <f>IF(B12&lt;=$C$2,1,IF(B12=$C$2+1,PRODUCT($D$5:D12),E11*D12))</f>
        <v>1</v>
      </c>
      <c r="F12" s="10">
        <f t="shared" si="0"/>
        <v>0.73069020500198378</v>
      </c>
      <c r="G12" s="10">
        <f t="shared" si="5"/>
        <v>0.73069020500198378</v>
      </c>
      <c r="I12" s="13">
        <f t="shared" si="1"/>
        <v>5000</v>
      </c>
      <c r="J12" s="11">
        <f>(SUM(G13:$G$79)*$I$1)</f>
        <v>32834.001708949749</v>
      </c>
      <c r="K12" s="11">
        <f t="shared" si="6"/>
        <v>-3653.4510250099192</v>
      </c>
      <c r="Q12" s="65">
        <v>8</v>
      </c>
      <c r="R12" s="66">
        <f>Inputs!H15</f>
        <v>1.4300000000000001E-4</v>
      </c>
    </row>
    <row r="13" spans="1:18" x14ac:dyDescent="0.25">
      <c r="A13">
        <f t="shared" si="2"/>
        <v>78</v>
      </c>
      <c r="B13">
        <v>9</v>
      </c>
      <c r="C13" s="12">
        <f t="shared" si="3"/>
        <v>2.6374999999999999E-2</v>
      </c>
      <c r="D13" s="10">
        <f t="shared" si="4"/>
        <v>0.97362499999999996</v>
      </c>
      <c r="E13" s="198">
        <f>IF(B13&lt;=$C$2,1,IF(B13=$C$2+1,PRODUCT($D$5:D13),E12*D13))</f>
        <v>1</v>
      </c>
      <c r="F13" s="10">
        <f t="shared" si="0"/>
        <v>0.70258673557883045</v>
      </c>
      <c r="G13" s="10">
        <f t="shared" si="5"/>
        <v>0.70258673557883045</v>
      </c>
      <c r="I13" s="13">
        <f t="shared" si="1"/>
        <v>5000</v>
      </c>
      <c r="J13" s="11">
        <f>(SUM(G14:$G$79)*$I$1)</f>
        <v>29321.068031055594</v>
      </c>
      <c r="K13" s="11">
        <f t="shared" si="6"/>
        <v>-3512.9336778941542</v>
      </c>
      <c r="Q13" s="65">
        <v>9</v>
      </c>
      <c r="R13" s="66">
        <f>Inputs!H16</f>
        <v>1.2899999999999999E-4</v>
      </c>
    </row>
    <row r="14" spans="1:18" x14ac:dyDescent="0.25">
      <c r="A14">
        <f t="shared" si="2"/>
        <v>79</v>
      </c>
      <c r="B14">
        <v>10</v>
      </c>
      <c r="C14" s="12">
        <f t="shared" si="3"/>
        <v>2.9572000000000001E-2</v>
      </c>
      <c r="D14" s="10">
        <f t="shared" si="4"/>
        <v>0.97042799999999996</v>
      </c>
      <c r="E14" s="198">
        <f>IF(B14&lt;=$C$2,1,IF(B14=$C$2+1,PRODUCT($D$5:D14),E13*D14))</f>
        <v>1</v>
      </c>
      <c r="F14" s="10">
        <f t="shared" si="0"/>
        <v>0.67556416882579851</v>
      </c>
      <c r="G14" s="10">
        <f t="shared" si="5"/>
        <v>0.67556416882579851</v>
      </c>
      <c r="I14" s="13">
        <f t="shared" si="1"/>
        <v>5000</v>
      </c>
      <c r="J14" s="11">
        <f>(SUM(G15:$G$79)*$I$1)</f>
        <v>25943.247186926605</v>
      </c>
      <c r="K14" s="11">
        <f t="shared" si="6"/>
        <v>-3377.8208441289898</v>
      </c>
      <c r="Q14" s="65">
        <v>10</v>
      </c>
      <c r="R14" s="66">
        <f>Inputs!H17</f>
        <v>1.13E-4</v>
      </c>
    </row>
    <row r="15" spans="1:18" x14ac:dyDescent="0.25">
      <c r="A15">
        <f t="shared" si="2"/>
        <v>80</v>
      </c>
      <c r="B15">
        <v>11</v>
      </c>
      <c r="C15" s="12">
        <f t="shared" si="3"/>
        <v>3.3234E-2</v>
      </c>
      <c r="D15" s="10">
        <f t="shared" si="4"/>
        <v>0.96676600000000001</v>
      </c>
      <c r="E15" s="198">
        <f>IF(B15&lt;=$C$2,1,IF(B15=$C$2+1,PRODUCT($D$5:D15),E14*D15))</f>
        <v>1</v>
      </c>
      <c r="F15" s="10">
        <f t="shared" si="0"/>
        <v>0.6495809315632679</v>
      </c>
      <c r="G15" s="10">
        <f t="shared" si="5"/>
        <v>0.6495809315632679</v>
      </c>
      <c r="I15" s="13">
        <f t="shared" si="1"/>
        <v>5000</v>
      </c>
      <c r="J15" s="11">
        <f>(SUM(G16:$G$79)*$I$1)</f>
        <v>22695.342529110265</v>
      </c>
      <c r="K15" s="11">
        <f t="shared" si="6"/>
        <v>-3247.9046578163397</v>
      </c>
      <c r="Q15" s="65">
        <v>11</v>
      </c>
      <c r="R15" s="66">
        <f>Inputs!H18</f>
        <v>1.11E-4</v>
      </c>
    </row>
    <row r="16" spans="1:18" x14ac:dyDescent="0.25">
      <c r="A16">
        <f t="shared" si="2"/>
        <v>81</v>
      </c>
      <c r="B16">
        <v>12</v>
      </c>
      <c r="C16" s="12">
        <f t="shared" si="3"/>
        <v>3.7532999999999997E-2</v>
      </c>
      <c r="D16" s="10">
        <f t="shared" si="4"/>
        <v>0.96246699999999996</v>
      </c>
      <c r="E16" s="198">
        <f>IF(B16&lt;=$C$2,1,IF(B16=$C$2+1,PRODUCT($D$5:D16),E15*D16))</f>
        <v>1</v>
      </c>
      <c r="F16" s="10">
        <f t="shared" si="0"/>
        <v>0.62459704958006512</v>
      </c>
      <c r="G16" s="10">
        <f t="shared" si="5"/>
        <v>0.62459704958006512</v>
      </c>
      <c r="I16" s="13">
        <f t="shared" si="1"/>
        <v>5000</v>
      </c>
      <c r="J16" s="11">
        <f>(SUM(G17:$G$79)*$I$1)</f>
        <v>19572.357281209941</v>
      </c>
      <c r="K16" s="11">
        <f t="shared" si="6"/>
        <v>-3122.9852479003239</v>
      </c>
      <c r="Q16" s="65">
        <v>12</v>
      </c>
      <c r="R16" s="66">
        <f>Inputs!H19</f>
        <v>1.3200000000000001E-4</v>
      </c>
    </row>
    <row r="17" spans="1:18" x14ac:dyDescent="0.25">
      <c r="A17">
        <f t="shared" si="2"/>
        <v>82</v>
      </c>
      <c r="B17">
        <v>13</v>
      </c>
      <c r="C17" s="12">
        <f t="shared" si="3"/>
        <v>4.2261E-2</v>
      </c>
      <c r="D17" s="10">
        <f t="shared" si="4"/>
        <v>0.95773900000000001</v>
      </c>
      <c r="E17" s="198">
        <f>IF(B17&lt;=$C$2,1,IF(B17=$C$2+1,PRODUCT($D$5:D17),E16*D17))</f>
        <v>1</v>
      </c>
      <c r="F17" s="10">
        <f t="shared" si="0"/>
        <v>0.600574086134678</v>
      </c>
      <c r="G17" s="10">
        <f t="shared" si="5"/>
        <v>0.600574086134678</v>
      </c>
      <c r="I17" s="13">
        <f t="shared" si="1"/>
        <v>5000</v>
      </c>
      <c r="J17" s="11">
        <f>(SUM(G18:$G$79)*$I$1)</f>
        <v>16569.486850536548</v>
      </c>
      <c r="K17" s="11">
        <f t="shared" si="6"/>
        <v>-3002.8704306733925</v>
      </c>
      <c r="Q17" s="65">
        <v>13</v>
      </c>
      <c r="R17" s="66">
        <f>Inputs!H20</f>
        <v>1.6899999999999999E-4</v>
      </c>
    </row>
    <row r="18" spans="1:18" x14ac:dyDescent="0.25">
      <c r="A18">
        <f t="shared" si="2"/>
        <v>83</v>
      </c>
      <c r="B18">
        <v>14</v>
      </c>
      <c r="C18" s="12">
        <f t="shared" si="3"/>
        <v>4.7440999999999997E-2</v>
      </c>
      <c r="D18" s="10">
        <f t="shared" si="4"/>
        <v>0.95255900000000004</v>
      </c>
      <c r="E18" s="198">
        <f>IF(B18&lt;=$C$2,1,IF(B18=$C$2+1,PRODUCT($D$5:D18),E17*D18))</f>
        <v>1</v>
      </c>
      <c r="F18" s="10">
        <f t="shared" si="0"/>
        <v>0.57747508282180582</v>
      </c>
      <c r="G18" s="10">
        <f t="shared" si="5"/>
        <v>0.57747508282180582</v>
      </c>
      <c r="I18" s="13">
        <f t="shared" si="1"/>
        <v>5000</v>
      </c>
      <c r="J18" s="11">
        <f>(SUM(G19:$G$79)*$I$1)</f>
        <v>13682.11143642752</v>
      </c>
      <c r="K18" s="11">
        <f t="shared" si="6"/>
        <v>-2887.3754141090285</v>
      </c>
      <c r="Q18" s="65">
        <v>14</v>
      </c>
      <c r="R18" s="66">
        <f>Inputs!H21</f>
        <v>2.13E-4</v>
      </c>
    </row>
    <row r="19" spans="1:18" x14ac:dyDescent="0.25">
      <c r="A19">
        <f t="shared" si="2"/>
        <v>84</v>
      </c>
      <c r="B19">
        <v>15</v>
      </c>
      <c r="C19" s="12">
        <f t="shared" si="3"/>
        <v>5.3233000000000003E-2</v>
      </c>
      <c r="D19" s="10">
        <f t="shared" si="4"/>
        <v>0.94676700000000003</v>
      </c>
      <c r="E19" s="198">
        <f>IF(B19&lt;=$C$2,1,IF(B19=$C$2+1,PRODUCT($D$5:D19),E18*D19))</f>
        <v>1</v>
      </c>
      <c r="F19" s="10">
        <f t="shared" si="0"/>
        <v>0.55526450271327477</v>
      </c>
      <c r="G19" s="10">
        <f t="shared" si="5"/>
        <v>0.55526450271327477</v>
      </c>
      <c r="I19" s="13">
        <f t="shared" si="1"/>
        <v>5000</v>
      </c>
      <c r="J19" s="11">
        <f>(SUM(G20:$G$79)*$I$1)</f>
        <v>10905.788922861146</v>
      </c>
      <c r="K19" s="11">
        <f t="shared" si="6"/>
        <v>-2776.3225135663743</v>
      </c>
      <c r="Q19" s="65">
        <v>15</v>
      </c>
      <c r="R19" s="66">
        <f>Inputs!H22</f>
        <v>2.5399999999999999E-4</v>
      </c>
    </row>
    <row r="20" spans="1:18" x14ac:dyDescent="0.25">
      <c r="A20">
        <f t="shared" si="2"/>
        <v>85</v>
      </c>
      <c r="B20">
        <v>16</v>
      </c>
      <c r="C20" s="12">
        <f t="shared" si="3"/>
        <v>5.9854999999999998E-2</v>
      </c>
      <c r="D20" s="10">
        <f t="shared" si="4"/>
        <v>0.94014500000000001</v>
      </c>
      <c r="E20" s="198">
        <f>IF(B20&lt;=$C$2,1,IF(B20=$C$2+1,PRODUCT($D$5:D20),E19*D20))</f>
        <v>0.62435517717320299</v>
      </c>
      <c r="F20" s="10">
        <f t="shared" si="0"/>
        <v>0.53390817568584104</v>
      </c>
      <c r="G20" s="10">
        <f t="shared" si="5"/>
        <v>0.33334833362455485</v>
      </c>
      <c r="I20" s="13">
        <f t="shared" si="1"/>
        <v>3121.775885866015</v>
      </c>
      <c r="J20" s="11">
        <f>(SUM(G21:$G$79)*$I$1)</f>
        <v>9239.0472547383688</v>
      </c>
      <c r="K20" s="11">
        <f t="shared" si="6"/>
        <v>-1666.7416681227769</v>
      </c>
      <c r="Q20" s="65">
        <v>16</v>
      </c>
      <c r="R20" s="66">
        <f>Inputs!H23</f>
        <v>2.9300000000000002E-4</v>
      </c>
    </row>
    <row r="21" spans="1:18" x14ac:dyDescent="0.25">
      <c r="A21">
        <f t="shared" si="2"/>
        <v>86</v>
      </c>
      <c r="B21">
        <v>17</v>
      </c>
      <c r="C21" s="12">
        <f t="shared" si="3"/>
        <v>6.7514000000000005E-2</v>
      </c>
      <c r="D21" s="10">
        <f t="shared" si="4"/>
        <v>0.93248600000000004</v>
      </c>
      <c r="E21" s="198">
        <f>IF(B21&lt;=$C$2,1,IF(B21=$C$2+1,PRODUCT($D$5:D21),E20*D21))</f>
        <v>0.58220246174153134</v>
      </c>
      <c r="F21" s="10">
        <f t="shared" si="0"/>
        <v>0.51337324585177024</v>
      </c>
      <c r="G21" s="10">
        <f t="shared" si="5"/>
        <v>0.29888716752714101</v>
      </c>
      <c r="I21" s="13">
        <f t="shared" si="1"/>
        <v>2911.0123087076568</v>
      </c>
      <c r="J21" s="11">
        <f>(SUM(G22:$G$79)*$I$1)</f>
        <v>7744.6114171026638</v>
      </c>
      <c r="K21" s="11">
        <f t="shared" si="6"/>
        <v>-1494.435837635705</v>
      </c>
      <c r="Q21" s="65">
        <v>17</v>
      </c>
      <c r="R21" s="66">
        <f>Inputs!H24</f>
        <v>3.28E-4</v>
      </c>
    </row>
    <row r="22" spans="1:18" x14ac:dyDescent="0.25">
      <c r="A22">
        <f t="shared" si="2"/>
        <v>87</v>
      </c>
      <c r="B22">
        <v>18</v>
      </c>
      <c r="C22" s="12">
        <f t="shared" si="3"/>
        <v>7.6340000000000005E-2</v>
      </c>
      <c r="D22" s="10">
        <f t="shared" si="4"/>
        <v>0.92366000000000004</v>
      </c>
      <c r="E22" s="198">
        <f>IF(B22&lt;=$C$2,1,IF(B22=$C$2+1,PRODUCT($D$5:D22),E21*D22))</f>
        <v>0.53775712581218282</v>
      </c>
      <c r="F22" s="10">
        <f t="shared" si="0"/>
        <v>0.49362812101131748</v>
      </c>
      <c r="G22" s="10">
        <f t="shared" si="5"/>
        <v>0.26545203957511448</v>
      </c>
      <c r="I22" s="13">
        <f t="shared" si="1"/>
        <v>2688.7856290609143</v>
      </c>
      <c r="J22" s="11">
        <f>(SUM(G23:$G$79)*$I$1)</f>
        <v>6417.351219227091</v>
      </c>
      <c r="K22" s="11">
        <f t="shared" si="6"/>
        <v>-1327.2601978755729</v>
      </c>
      <c r="Q22" s="65">
        <v>18</v>
      </c>
      <c r="R22" s="66">
        <f>Inputs!H25</f>
        <v>3.59E-4</v>
      </c>
    </row>
    <row r="23" spans="1:18" x14ac:dyDescent="0.25">
      <c r="A23">
        <f t="shared" si="2"/>
        <v>88</v>
      </c>
      <c r="B23">
        <v>19</v>
      </c>
      <c r="C23" s="12">
        <f t="shared" si="3"/>
        <v>8.6388000000000006E-2</v>
      </c>
      <c r="D23" s="10">
        <f t="shared" si="4"/>
        <v>0.91361199999999998</v>
      </c>
      <c r="E23" s="198">
        <f>IF(B23&lt;=$C$2,1,IF(B23=$C$2+1,PRODUCT($D$5:D23),E22*D23))</f>
        <v>0.49130136322751994</v>
      </c>
      <c r="F23" s="10">
        <f t="shared" si="0"/>
        <v>0.47464242404934376</v>
      </c>
      <c r="G23" s="10">
        <f t="shared" si="5"/>
        <v>0.23319246998105719</v>
      </c>
      <c r="I23" s="13">
        <f t="shared" si="1"/>
        <v>2456.5068161375998</v>
      </c>
      <c r="J23" s="11">
        <f>(SUM(G24:$G$79)*$I$1)</f>
        <v>5251.388869321805</v>
      </c>
      <c r="K23" s="11">
        <f t="shared" si="6"/>
        <v>-1165.9623499052859</v>
      </c>
      <c r="Q23" s="65">
        <v>19</v>
      </c>
      <c r="R23" s="66">
        <f>Inputs!H26</f>
        <v>3.8699999999999997E-4</v>
      </c>
    </row>
    <row r="24" spans="1:18" x14ac:dyDescent="0.25">
      <c r="A24">
        <f t="shared" si="2"/>
        <v>89</v>
      </c>
      <c r="B24">
        <v>20</v>
      </c>
      <c r="C24" s="12">
        <f t="shared" si="3"/>
        <v>9.7633999999999999E-2</v>
      </c>
      <c r="D24" s="10">
        <f t="shared" si="4"/>
        <v>0.902366</v>
      </c>
      <c r="E24" s="198">
        <f>IF(B24&lt;=$C$2,1,IF(B24=$C$2+1,PRODUCT($D$5:D24),E23*D24))</f>
        <v>0.44333364593016428</v>
      </c>
      <c r="F24" s="10">
        <f t="shared" si="0"/>
        <v>0.45638694620129205</v>
      </c>
      <c r="G24" s="10">
        <f t="shared" si="5"/>
        <v>0.20233168881435254</v>
      </c>
      <c r="I24" s="13">
        <f t="shared" si="1"/>
        <v>2216.6682296508216</v>
      </c>
      <c r="J24" s="11">
        <f>(SUM(G25:$G$79)*$I$1)</f>
        <v>4239.7304252500453</v>
      </c>
      <c r="K24" s="11">
        <f t="shared" si="6"/>
        <v>-1011.6584440717597</v>
      </c>
      <c r="Q24" s="65">
        <v>20</v>
      </c>
      <c r="R24" s="66">
        <f>Inputs!H27</f>
        <v>4.1399999999999998E-4</v>
      </c>
    </row>
    <row r="25" spans="1:18" x14ac:dyDescent="0.25">
      <c r="A25">
        <f t="shared" si="2"/>
        <v>90</v>
      </c>
      <c r="B25">
        <v>21</v>
      </c>
      <c r="C25" s="12">
        <f t="shared" si="3"/>
        <v>0.10999299999999999</v>
      </c>
      <c r="D25" s="10">
        <f t="shared" si="4"/>
        <v>0.89000699999999999</v>
      </c>
      <c r="E25" s="198">
        <f>IF(B25&lt;=$C$2,1,IF(B25=$C$2+1,PRODUCT($D$5:D25),E24*D25))</f>
        <v>0.39457004821336772</v>
      </c>
      <c r="F25" s="10">
        <f t="shared" si="0"/>
        <v>0.43883360211662686</v>
      </c>
      <c r="G25" s="10">
        <f t="shared" si="5"/>
        <v>0.17315059554480328</v>
      </c>
      <c r="I25" s="13">
        <f t="shared" si="1"/>
        <v>1972.8502410668386</v>
      </c>
      <c r="J25" s="11">
        <f>(SUM(G26:$G$79)*$I$1)</f>
        <v>3373.9774475260288</v>
      </c>
      <c r="K25" s="11">
        <f t="shared" si="6"/>
        <v>-865.75297772401655</v>
      </c>
      <c r="Q25" s="65">
        <v>21</v>
      </c>
      <c r="R25" s="66">
        <f>Inputs!H28</f>
        <v>4.4299999999999998E-4</v>
      </c>
    </row>
    <row r="26" spans="1:18" x14ac:dyDescent="0.25">
      <c r="A26">
        <f t="shared" si="2"/>
        <v>91</v>
      </c>
      <c r="B26">
        <v>22</v>
      </c>
      <c r="C26" s="12">
        <f t="shared" si="3"/>
        <v>0.12311900000000001</v>
      </c>
      <c r="D26" s="10">
        <f t="shared" si="4"/>
        <v>0.87688100000000002</v>
      </c>
      <c r="E26" s="198">
        <f>IF(B26&lt;=$C$2,1,IF(B26=$C$2+1,PRODUCT($D$5:D26),E25*D26))</f>
        <v>0.34599097844738613</v>
      </c>
      <c r="F26" s="10">
        <f t="shared" si="0"/>
        <v>0.42195538665060278</v>
      </c>
      <c r="G26" s="10">
        <f t="shared" si="5"/>
        <v>0.14599275708838719</v>
      </c>
      <c r="I26" s="13">
        <f t="shared" si="1"/>
        <v>1729.9548922369306</v>
      </c>
      <c r="J26" s="11">
        <f>(SUM(G27:$G$79)*$I$1)</f>
        <v>2644.0136620840922</v>
      </c>
      <c r="K26" s="11">
        <f t="shared" si="6"/>
        <v>-729.96378544193658</v>
      </c>
      <c r="Q26" s="65">
        <v>22</v>
      </c>
      <c r="R26" s="66">
        <f>Inputs!H29</f>
        <v>4.73E-4</v>
      </c>
    </row>
    <row r="27" spans="1:18" x14ac:dyDescent="0.25">
      <c r="A27">
        <f t="shared" si="2"/>
        <v>92</v>
      </c>
      <c r="B27">
        <v>23</v>
      </c>
      <c r="C27" s="12">
        <f t="shared" si="3"/>
        <v>0.13716800000000001</v>
      </c>
      <c r="D27" s="10">
        <f t="shared" si="4"/>
        <v>0.86283200000000004</v>
      </c>
      <c r="E27" s="198">
        <f>IF(B27&lt;=$C$2,1,IF(B27=$C$2+1,PRODUCT($D$5:D27),E26*D27))</f>
        <v>0.29853208791571506</v>
      </c>
      <c r="F27" s="10">
        <f t="shared" si="0"/>
        <v>0.40572633331788732</v>
      </c>
      <c r="G27" s="10">
        <f t="shared" si="5"/>
        <v>0.12112232940777624</v>
      </c>
      <c r="I27" s="13">
        <f t="shared" si="1"/>
        <v>1492.6604395785753</v>
      </c>
      <c r="J27" s="11">
        <f>(SUM(G28:$G$79)*$I$1)</f>
        <v>2038.4020150452097</v>
      </c>
      <c r="K27" s="11">
        <f t="shared" si="6"/>
        <v>-605.61164703888244</v>
      </c>
      <c r="Q27" s="65">
        <v>23</v>
      </c>
      <c r="R27" s="66">
        <f>Inputs!H30</f>
        <v>5.13E-4</v>
      </c>
    </row>
    <row r="28" spans="1:18" x14ac:dyDescent="0.25">
      <c r="A28">
        <f t="shared" si="2"/>
        <v>93</v>
      </c>
      <c r="B28">
        <v>24</v>
      </c>
      <c r="C28" s="12">
        <f t="shared" si="3"/>
        <v>0.152171</v>
      </c>
      <c r="D28" s="10">
        <f t="shared" si="4"/>
        <v>0.84782899999999994</v>
      </c>
      <c r="E28" s="198">
        <f>IF(B28&lt;=$C$2,1,IF(B28=$C$2+1,PRODUCT($D$5:D28),E27*D28))</f>
        <v>0.25310416156549276</v>
      </c>
      <c r="F28" s="10">
        <f t="shared" si="0"/>
        <v>0.39012147434412242</v>
      </c>
      <c r="G28" s="10">
        <f t="shared" si="5"/>
        <v>9.8741368672563001E-2</v>
      </c>
      <c r="I28" s="13">
        <f t="shared" si="1"/>
        <v>1265.5208078274638</v>
      </c>
      <c r="J28" s="11">
        <f>(SUM(G29:$G$79)*$I$1)</f>
        <v>1544.6951716823951</v>
      </c>
      <c r="K28" s="11">
        <f t="shared" si="6"/>
        <v>-493.70684336281465</v>
      </c>
      <c r="Q28" s="65">
        <v>24</v>
      </c>
      <c r="R28" s="66">
        <f>Inputs!H31</f>
        <v>5.5400000000000002E-4</v>
      </c>
    </row>
    <row r="29" spans="1:18" x14ac:dyDescent="0.25">
      <c r="A29">
        <f t="shared" si="2"/>
        <v>94</v>
      </c>
      <c r="B29">
        <v>25</v>
      </c>
      <c r="C29" s="12">
        <f t="shared" si="3"/>
        <v>0.16819400000000001</v>
      </c>
      <c r="D29" s="10">
        <f t="shared" si="4"/>
        <v>0.83180600000000005</v>
      </c>
      <c r="E29" s="198">
        <f>IF(B29&lt;=$C$2,1,IF(B29=$C$2+1,PRODUCT($D$5:D29),E28*D29))</f>
        <v>0.21053356021514627</v>
      </c>
      <c r="F29" s="10">
        <f t="shared" si="0"/>
        <v>0.37511680225396377</v>
      </c>
      <c r="G29" s="10">
        <f t="shared" si="5"/>
        <v>7.8974675875048E-2</v>
      </c>
      <c r="I29" s="13">
        <f t="shared" si="1"/>
        <v>1052.6678010757314</v>
      </c>
      <c r="J29" s="11">
        <f>(SUM(G30:$G$79)*$I$1)</f>
        <v>1149.8217923071554</v>
      </c>
      <c r="K29" s="11">
        <f t="shared" si="6"/>
        <v>-394.87337937523967</v>
      </c>
      <c r="Q29" s="65">
        <v>25</v>
      </c>
      <c r="R29" s="66">
        <f>Inputs!H32</f>
        <v>6.02E-4</v>
      </c>
    </row>
    <row r="30" spans="1:18" x14ac:dyDescent="0.25">
      <c r="A30">
        <f t="shared" si="2"/>
        <v>95</v>
      </c>
      <c r="B30">
        <v>26</v>
      </c>
      <c r="C30" s="12">
        <f t="shared" si="3"/>
        <v>0.18526000000000001</v>
      </c>
      <c r="D30" s="10">
        <f t="shared" si="4"/>
        <v>0.81474000000000002</v>
      </c>
      <c r="E30" s="198">
        <f>IF(B30&lt;=$C$2,1,IF(B30=$C$2+1,PRODUCT($D$5:D30),E29*D30))</f>
        <v>0.17153011284968828</v>
      </c>
      <c r="F30" s="10">
        <f t="shared" si="0"/>
        <v>0.36068923293650368</v>
      </c>
      <c r="G30" s="10">
        <f t="shared" si="5"/>
        <v>6.1869064829265977E-2</v>
      </c>
      <c r="I30" s="13">
        <f t="shared" si="1"/>
        <v>857.65056424844136</v>
      </c>
      <c r="J30" s="11">
        <f>(SUM(G31:$G$79)*$I$1)</f>
        <v>840.47646816082556</v>
      </c>
      <c r="K30" s="11">
        <f t="shared" si="6"/>
        <v>-309.34532414632986</v>
      </c>
      <c r="Q30" s="65">
        <v>26</v>
      </c>
      <c r="R30" s="66">
        <f>Inputs!H33</f>
        <v>6.5499999999999998E-4</v>
      </c>
    </row>
    <row r="31" spans="1:18" x14ac:dyDescent="0.25">
      <c r="A31">
        <f t="shared" si="2"/>
        <v>96</v>
      </c>
      <c r="B31">
        <v>27</v>
      </c>
      <c r="C31" s="12">
        <f t="shared" si="3"/>
        <v>0.197322</v>
      </c>
      <c r="D31" s="10">
        <f t="shared" si="4"/>
        <v>0.802678</v>
      </c>
      <c r="E31" s="198">
        <f>IF(B31&lt;=$C$2,1,IF(B31=$C$2+1,PRODUCT($D$5:D31),E30*D31))</f>
        <v>0.13768344792196208</v>
      </c>
      <c r="F31" s="10">
        <f t="shared" si="0"/>
        <v>0.3468165701312535</v>
      </c>
      <c r="G31" s="10">
        <f t="shared" si="5"/>
        <v>4.7750901172139947E-2</v>
      </c>
      <c r="I31" s="13">
        <f t="shared" si="1"/>
        <v>688.41723960981039</v>
      </c>
      <c r="J31" s="11">
        <f>(SUM(G32:$G$79)*$I$1)</f>
        <v>601.72196230012582</v>
      </c>
      <c r="K31" s="11">
        <f t="shared" si="6"/>
        <v>-238.75450586069974</v>
      </c>
      <c r="Q31" s="65">
        <v>27</v>
      </c>
      <c r="R31" s="66">
        <f>Inputs!H34</f>
        <v>6.8800000000000003E-4</v>
      </c>
    </row>
    <row r="32" spans="1:18" x14ac:dyDescent="0.25">
      <c r="A32">
        <f t="shared" si="2"/>
        <v>97</v>
      </c>
      <c r="B32">
        <v>28</v>
      </c>
      <c r="C32" s="12">
        <f t="shared" si="3"/>
        <v>0.214751</v>
      </c>
      <c r="D32" s="10">
        <f t="shared" si="4"/>
        <v>0.78524899999999997</v>
      </c>
      <c r="E32" s="198">
        <f>IF(B32&lt;=$C$2,1,IF(B32=$C$2+1,PRODUCT($D$5:D32),E31*D32))</f>
        <v>0.10811578979727279</v>
      </c>
      <c r="F32" s="10">
        <f t="shared" si="0"/>
        <v>0.3334774712800514</v>
      </c>
      <c r="G32" s="10">
        <f t="shared" si="5"/>
        <v>3.6054180187040111E-2</v>
      </c>
      <c r="I32" s="13">
        <f t="shared" si="1"/>
        <v>540.57894898636391</v>
      </c>
      <c r="J32" s="11">
        <f>(SUM(G33:$G$79)*$I$1)</f>
        <v>421.45106136492529</v>
      </c>
      <c r="K32" s="11">
        <f t="shared" si="6"/>
        <v>-180.27090093520053</v>
      </c>
      <c r="Q32" s="65">
        <v>28</v>
      </c>
      <c r="R32" s="66">
        <f>Inputs!H35</f>
        <v>7.1000000000000002E-4</v>
      </c>
    </row>
    <row r="33" spans="1:18" x14ac:dyDescent="0.25">
      <c r="A33">
        <f t="shared" si="2"/>
        <v>98</v>
      </c>
      <c r="B33">
        <v>29</v>
      </c>
      <c r="C33" s="12">
        <f t="shared" si="3"/>
        <v>0.23250699999999999</v>
      </c>
      <c r="D33" s="10">
        <f t="shared" si="4"/>
        <v>0.76749299999999998</v>
      </c>
      <c r="E33" s="198">
        <f>IF(B33&lt;=$C$2,1,IF(B33=$C$2+1,PRODUCT($D$5:D33),E32*D33))</f>
        <v>8.2978111858878281E-2</v>
      </c>
      <c r="F33" s="10">
        <f t="shared" si="0"/>
        <v>0.32065141469235708</v>
      </c>
      <c r="G33" s="10">
        <f t="shared" si="5"/>
        <v>2.6607048956049973E-2</v>
      </c>
      <c r="I33" s="13">
        <f t="shared" si="1"/>
        <v>414.89055929439138</v>
      </c>
      <c r="J33" s="11">
        <f>(SUM(G34:$G$79)*$I$1)</f>
        <v>288.41581658467516</v>
      </c>
      <c r="K33" s="11">
        <f t="shared" si="6"/>
        <v>-133.03524478025014</v>
      </c>
      <c r="Q33" s="65">
        <v>29</v>
      </c>
      <c r="R33" s="66">
        <f>Inputs!H36</f>
        <v>7.27E-4</v>
      </c>
    </row>
    <row r="34" spans="1:18" x14ac:dyDescent="0.25">
      <c r="A34">
        <f t="shared" si="2"/>
        <v>99</v>
      </c>
      <c r="B34">
        <v>30</v>
      </c>
      <c r="C34" s="12">
        <f t="shared" si="3"/>
        <v>0.25039699999999998</v>
      </c>
      <c r="D34" s="10">
        <f t="shared" si="4"/>
        <v>0.74960300000000002</v>
      </c>
      <c r="E34" s="198">
        <f>IF(B34&lt;=$C$2,1,IF(B34=$C$2+1,PRODUCT($D$5:D34),E33*D34))</f>
        <v>6.2200641583750736E-2</v>
      </c>
      <c r="F34" s="10">
        <f t="shared" si="0"/>
        <v>0.30831866797342034</v>
      </c>
      <c r="G34" s="10">
        <f t="shared" si="5"/>
        <v>1.9177618960194164E-2</v>
      </c>
      <c r="I34" s="13">
        <f t="shared" si="1"/>
        <v>311.00320791875367</v>
      </c>
      <c r="J34" s="11">
        <f>(SUM(G35:$G$79)*$I$1)</f>
        <v>192.52772178370435</v>
      </c>
      <c r="K34" s="11">
        <f t="shared" si="6"/>
        <v>-95.888094800970805</v>
      </c>
      <c r="Q34" s="65">
        <v>30</v>
      </c>
      <c r="R34" s="66">
        <f>Inputs!H37</f>
        <v>7.4100000000000001E-4</v>
      </c>
    </row>
    <row r="35" spans="1:18" x14ac:dyDescent="0.25">
      <c r="A35">
        <f t="shared" si="2"/>
        <v>100</v>
      </c>
      <c r="B35">
        <v>31</v>
      </c>
      <c r="C35" s="12">
        <f t="shared" si="3"/>
        <v>0.26860699999999998</v>
      </c>
      <c r="D35" s="10">
        <f t="shared" si="4"/>
        <v>0.73139299999999996</v>
      </c>
      <c r="E35" s="198">
        <f>IF(B35&lt;=$C$2,1,IF(B35=$C$2+1,PRODUCT($D$5:D35),E34*D35))</f>
        <v>4.5493113849864202E-2</v>
      </c>
      <c r="F35" s="10">
        <f t="shared" si="0"/>
        <v>0.29646025766675027</v>
      </c>
      <c r="G35" s="10">
        <f t="shared" si="5"/>
        <v>1.3486900253993546E-2</v>
      </c>
      <c r="I35" s="13">
        <f t="shared" si="1"/>
        <v>227.46556924932102</v>
      </c>
      <c r="J35" s="11">
        <f>(SUM(G36:$G$79)*$I$1)</f>
        <v>125.09322051373672</v>
      </c>
      <c r="K35" s="11">
        <f t="shared" si="6"/>
        <v>-67.434501269967626</v>
      </c>
      <c r="Q35" s="65">
        <v>31</v>
      </c>
      <c r="R35" s="66">
        <f>Inputs!H38</f>
        <v>7.5100000000000004E-4</v>
      </c>
    </row>
    <row r="36" spans="1:18" x14ac:dyDescent="0.25">
      <c r="A36">
        <f t="shared" si="2"/>
        <v>101</v>
      </c>
      <c r="B36">
        <v>32</v>
      </c>
      <c r="C36" s="12">
        <f t="shared" si="3"/>
        <v>0.290016</v>
      </c>
      <c r="D36" s="10">
        <f t="shared" si="4"/>
        <v>0.70998399999999995</v>
      </c>
      <c r="E36" s="198">
        <f>IF(B36&lt;=$C$2,1,IF(B36=$C$2+1,PRODUCT($D$5:D36),E35*D36))</f>
        <v>3.2299382943581985E-2</v>
      </c>
      <c r="F36" s="10">
        <f t="shared" si="0"/>
        <v>0.28505794006418295</v>
      </c>
      <c r="G36" s="10">
        <f t="shared" si="5"/>
        <v>9.2071955672416855E-3</v>
      </c>
      <c r="I36" s="13">
        <f t="shared" si="1"/>
        <v>161.49691471790993</v>
      </c>
      <c r="J36" s="11">
        <f>(SUM(G37:$G$79)*$I$1)</f>
        <v>79.057242677528265</v>
      </c>
      <c r="K36" s="11">
        <f t="shared" si="6"/>
        <v>-46.03597783620846</v>
      </c>
      <c r="Q36" s="65">
        <v>32</v>
      </c>
      <c r="R36" s="66">
        <f>Inputs!H39</f>
        <v>7.54E-4</v>
      </c>
    </row>
    <row r="37" spans="1:18" x14ac:dyDescent="0.25">
      <c r="A37">
        <f t="shared" si="2"/>
        <v>102</v>
      </c>
      <c r="B37">
        <v>33</v>
      </c>
      <c r="C37" s="12">
        <f t="shared" si="3"/>
        <v>0.31184899999999999</v>
      </c>
      <c r="D37" s="10">
        <f t="shared" si="4"/>
        <v>0.68815099999999996</v>
      </c>
      <c r="E37" s="198">
        <f>IF(B37&lt;=$C$2,1,IF(B37=$C$2+1,PRODUCT($D$5:D37),E36*D37))</f>
        <v>2.2226852672008884E-2</v>
      </c>
      <c r="F37" s="10">
        <f t="shared" si="0"/>
        <v>0.27409417313863743</v>
      </c>
      <c r="G37" s="10">
        <f t="shared" si="5"/>
        <v>6.0922508046085894E-3</v>
      </c>
      <c r="I37" s="13">
        <f t="shared" si="1"/>
        <v>111.13426336004443</v>
      </c>
      <c r="J37" s="11">
        <f>(SUM(G38:$G$79)*$I$1)</f>
        <v>48.595988654485311</v>
      </c>
      <c r="K37" s="11">
        <f t="shared" si="6"/>
        <v>-30.461254023042954</v>
      </c>
      <c r="Q37" s="65">
        <v>33</v>
      </c>
      <c r="R37" s="66">
        <f>Inputs!H40</f>
        <v>7.5600000000000005E-4</v>
      </c>
    </row>
    <row r="38" spans="1:18" x14ac:dyDescent="0.25">
      <c r="A38">
        <f t="shared" si="2"/>
        <v>103</v>
      </c>
      <c r="B38">
        <v>34</v>
      </c>
      <c r="C38" s="12">
        <f t="shared" si="3"/>
        <v>0.33396199999999998</v>
      </c>
      <c r="D38" s="10">
        <f t="shared" si="4"/>
        <v>0.66603800000000002</v>
      </c>
      <c r="E38" s="198">
        <f>IF(B38&lt;=$C$2,1,IF(B38=$C$2+1,PRODUCT($D$5:D38),E37*D38))</f>
        <v>1.4803928499959453E-2</v>
      </c>
      <c r="F38" s="10">
        <f t="shared" si="0"/>
        <v>0.26355208955638215</v>
      </c>
      <c r="G38" s="10">
        <f t="shared" si="5"/>
        <v>3.9016062898075917E-3</v>
      </c>
      <c r="I38" s="13">
        <f t="shared" si="1"/>
        <v>74.019642499797271</v>
      </c>
      <c r="J38" s="11">
        <f>(SUM(G39:$G$79)*$I$1)</f>
        <v>29.087957205447349</v>
      </c>
      <c r="K38" s="11">
        <f t="shared" si="6"/>
        <v>-19.508031449037961</v>
      </c>
      <c r="Q38" s="65">
        <v>34</v>
      </c>
      <c r="R38" s="66">
        <f>Inputs!H41</f>
        <v>7.5600000000000005E-4</v>
      </c>
    </row>
    <row r="39" spans="1:18" x14ac:dyDescent="0.25">
      <c r="A39">
        <f t="shared" si="2"/>
        <v>104</v>
      </c>
      <c r="B39">
        <v>35</v>
      </c>
      <c r="C39" s="12">
        <f t="shared" si="3"/>
        <v>0.356207</v>
      </c>
      <c r="D39" s="10">
        <f t="shared" si="4"/>
        <v>0.64379300000000006</v>
      </c>
      <c r="E39" s="198">
        <f>IF(B39&lt;=$C$2,1,IF(B39=$C$2+1,PRODUCT($D$5:D39),E38*D39))</f>
        <v>9.5306655407743964E-3</v>
      </c>
      <c r="F39" s="10">
        <f t="shared" si="0"/>
        <v>0.25341547072729048</v>
      </c>
      <c r="G39" s="10">
        <f t="shared" si="5"/>
        <v>2.4152180943597104E-3</v>
      </c>
      <c r="I39" s="13">
        <f t="shared" si="1"/>
        <v>47.65332770387198</v>
      </c>
      <c r="J39" s="11">
        <f>(SUM(G40:$G$79)*$I$1)</f>
        <v>17.011866733648802</v>
      </c>
      <c r="K39" s="11">
        <f t="shared" si="6"/>
        <v>-12.076090471798548</v>
      </c>
      <c r="Q39" s="65">
        <v>35</v>
      </c>
      <c r="R39" s="66">
        <f>Inputs!H42</f>
        <v>7.5600000000000005E-4</v>
      </c>
    </row>
    <row r="40" spans="1:18" x14ac:dyDescent="0.25">
      <c r="A40">
        <f t="shared" si="2"/>
        <v>105</v>
      </c>
      <c r="B40">
        <v>36</v>
      </c>
      <c r="C40" s="12">
        <f t="shared" si="3"/>
        <v>0.38</v>
      </c>
      <c r="D40" s="10">
        <f t="shared" si="4"/>
        <v>0.62</v>
      </c>
      <c r="E40" s="198">
        <f>IF(B40&lt;=$C$2,1,IF(B40=$C$2+1,PRODUCT($D$5:D40),E39*D40))</f>
        <v>5.9090126352801253E-3</v>
      </c>
      <c r="F40" s="10">
        <f t="shared" si="0"/>
        <v>0.24366872185316396</v>
      </c>
      <c r="G40" s="10">
        <f t="shared" si="5"/>
        <v>1.4398415562529043E-3</v>
      </c>
      <c r="I40" s="13">
        <f t="shared" si="1"/>
        <v>29.545063176400628</v>
      </c>
      <c r="J40" s="11">
        <f>(SUM(G41:$G$79)*$I$1)</f>
        <v>9.8126589523842771</v>
      </c>
      <c r="K40" s="11">
        <f t="shared" si="6"/>
        <v>-7.1992077812645245</v>
      </c>
      <c r="Q40" s="65">
        <v>36</v>
      </c>
      <c r="R40" s="66">
        <f>Inputs!H43</f>
        <v>7.5600000000000005E-4</v>
      </c>
    </row>
    <row r="41" spans="1:18" x14ac:dyDescent="0.25">
      <c r="A41">
        <f t="shared" si="2"/>
        <v>106</v>
      </c>
      <c r="B41">
        <v>37</v>
      </c>
      <c r="C41" s="12">
        <f t="shared" si="3"/>
        <v>0.4</v>
      </c>
      <c r="D41" s="10">
        <f t="shared" si="4"/>
        <v>0.6</v>
      </c>
      <c r="E41" s="198">
        <f>IF(B41&lt;=$C$2,1,IF(B41=$C$2+1,PRODUCT($D$5:D41),E40*D41))</f>
        <v>3.545407581168075E-3</v>
      </c>
      <c r="F41" s="10">
        <f t="shared" si="0"/>
        <v>0.23429684793573452</v>
      </c>
      <c r="G41" s="10">
        <f t="shared" si="5"/>
        <v>8.306778209151368E-4</v>
      </c>
      <c r="I41" s="13">
        <f t="shared" si="1"/>
        <v>17.727037905840376</v>
      </c>
      <c r="J41" s="11">
        <f>(SUM(G42:$G$79)*$I$1)</f>
        <v>5.6592698478085941</v>
      </c>
      <c r="K41" s="11">
        <f t="shared" si="6"/>
        <v>-4.153389104575683</v>
      </c>
      <c r="Q41" s="65">
        <v>37</v>
      </c>
      <c r="R41" s="66">
        <f>Inputs!H44</f>
        <v>7.5600000000000005E-4</v>
      </c>
    </row>
    <row r="42" spans="1:18" x14ac:dyDescent="0.25">
      <c r="A42">
        <f t="shared" si="2"/>
        <v>107</v>
      </c>
      <c r="B42">
        <v>38</v>
      </c>
      <c r="C42" s="12">
        <f t="shared" si="3"/>
        <v>0.4</v>
      </c>
      <c r="D42" s="10">
        <f t="shared" si="4"/>
        <v>0.6</v>
      </c>
      <c r="E42" s="198">
        <f>IF(B42&lt;=$C$2,1,IF(B42=$C$2+1,PRODUCT($D$5:D42),E41*D42))</f>
        <v>2.1272445487008451E-3</v>
      </c>
      <c r="F42" s="10">
        <f t="shared" si="0"/>
        <v>0.22528543070743706</v>
      </c>
      <c r="G42" s="10">
        <f t="shared" si="5"/>
        <v>4.7923720437411749E-4</v>
      </c>
      <c r="I42" s="13">
        <f t="shared" si="1"/>
        <v>10.636222743504225</v>
      </c>
      <c r="J42" s="11">
        <f>(SUM(G43:$G$79)*$I$1)</f>
        <v>3.2630838259380082</v>
      </c>
      <c r="K42" s="11">
        <f t="shared" si="6"/>
        <v>-2.3961860218705859</v>
      </c>
      <c r="Q42" s="65">
        <v>38</v>
      </c>
      <c r="R42" s="66">
        <f>Inputs!H45</f>
        <v>7.5600000000000005E-4</v>
      </c>
    </row>
    <row r="43" spans="1:18" x14ac:dyDescent="0.25">
      <c r="A43">
        <f t="shared" si="2"/>
        <v>108</v>
      </c>
      <c r="B43">
        <v>39</v>
      </c>
      <c r="C43" s="12">
        <f t="shared" si="3"/>
        <v>0.4</v>
      </c>
      <c r="D43" s="10">
        <f t="shared" si="4"/>
        <v>0.6</v>
      </c>
      <c r="E43" s="198">
        <f>IF(B43&lt;=$C$2,1,IF(B43=$C$2+1,PRODUCT($D$5:D43),E42*D43))</f>
        <v>1.2763467292205069E-3</v>
      </c>
      <c r="F43" s="10">
        <f t="shared" si="0"/>
        <v>0.21662060644945874</v>
      </c>
      <c r="G43" s="10">
        <f t="shared" si="5"/>
        <v>2.7648300252352929E-4</v>
      </c>
      <c r="I43" s="13">
        <f t="shared" si="1"/>
        <v>6.3817336461025347</v>
      </c>
      <c r="J43" s="11">
        <f>(SUM(G44:$G$79)*$I$1)</f>
        <v>1.880668813320362</v>
      </c>
      <c r="K43" s="11">
        <f t="shared" si="6"/>
        <v>-1.3824150126176462</v>
      </c>
      <c r="Q43" s="65">
        <v>39</v>
      </c>
      <c r="R43" s="66">
        <f>Inputs!H46</f>
        <v>8.0000000000000004E-4</v>
      </c>
    </row>
    <row r="44" spans="1:18" x14ac:dyDescent="0.25">
      <c r="A44">
        <f t="shared" si="2"/>
        <v>109</v>
      </c>
      <c r="B44">
        <v>40</v>
      </c>
      <c r="C44" s="12">
        <f t="shared" si="3"/>
        <v>0.4</v>
      </c>
      <c r="D44" s="10">
        <f t="shared" si="4"/>
        <v>0.6</v>
      </c>
      <c r="E44" s="198">
        <f>IF(B44&lt;=$C$2,1,IF(B44=$C$2+1,PRODUCT($D$5:D44),E43*D44))</f>
        <v>7.6580803753230418E-4</v>
      </c>
      <c r="F44" s="10">
        <f t="shared" si="0"/>
        <v>0.20828904466294101</v>
      </c>
      <c r="G44" s="10">
        <f t="shared" si="5"/>
        <v>1.5950942453280532E-4</v>
      </c>
      <c r="I44" s="13">
        <f t="shared" si="1"/>
        <v>3.829040187661521</v>
      </c>
      <c r="J44" s="11">
        <f>(SUM(G45:$G$79)*$I$1)</f>
        <v>1.0831216906563348</v>
      </c>
      <c r="K44" s="11">
        <f t="shared" si="6"/>
        <v>-0.79754712266402716</v>
      </c>
      <c r="Q44" s="65">
        <v>40</v>
      </c>
      <c r="R44" s="66">
        <f>Inputs!H47</f>
        <v>8.5899999999999995E-4</v>
      </c>
    </row>
    <row r="45" spans="1:18" x14ac:dyDescent="0.25">
      <c r="A45">
        <f t="shared" si="2"/>
        <v>110</v>
      </c>
      <c r="B45">
        <v>41</v>
      </c>
      <c r="C45" s="12">
        <f t="shared" si="3"/>
        <v>0.4</v>
      </c>
      <c r="D45" s="10">
        <f t="shared" si="4"/>
        <v>0.6</v>
      </c>
      <c r="E45" s="198">
        <f>IF(B45&lt;=$C$2,1,IF(B45=$C$2+1,PRODUCT($D$5:D45),E44*D45))</f>
        <v>4.5948482251938249E-4</v>
      </c>
      <c r="F45" s="10">
        <f t="shared" si="0"/>
        <v>0.20027792756052021</v>
      </c>
      <c r="G45" s="10">
        <f t="shared" si="5"/>
        <v>9.2024667999695365E-5</v>
      </c>
      <c r="I45" s="13">
        <f t="shared" si="1"/>
        <v>2.2974241125969126</v>
      </c>
      <c r="J45" s="11">
        <f>(SUM(G46:$G$79)*$I$1)</f>
        <v>0.62299835065785791</v>
      </c>
      <c r="K45" s="11">
        <f t="shared" si="6"/>
        <v>-0.46012333999847688</v>
      </c>
      <c r="Q45" s="65">
        <v>41</v>
      </c>
      <c r="R45" s="66">
        <f>Inputs!H48</f>
        <v>9.2599999999999996E-4</v>
      </c>
    </row>
    <row r="46" spans="1:18" x14ac:dyDescent="0.25">
      <c r="A46">
        <f t="shared" si="2"/>
        <v>111</v>
      </c>
      <c r="B46">
        <v>42</v>
      </c>
      <c r="C46" s="12">
        <f t="shared" si="3"/>
        <v>0.4</v>
      </c>
      <c r="D46" s="10">
        <f t="shared" si="4"/>
        <v>0.6</v>
      </c>
      <c r="E46" s="198">
        <f>IF(B46&lt;=$C$2,1,IF(B46=$C$2+1,PRODUCT($D$5:D46),E45*D46))</f>
        <v>2.7569089351162947E-4</v>
      </c>
      <c r="F46" s="10">
        <f t="shared" si="0"/>
        <v>0.19257493034665407</v>
      </c>
      <c r="G46" s="10">
        <f t="shared" si="5"/>
        <v>5.3091154615208871E-5</v>
      </c>
      <c r="I46" s="13">
        <f t="shared" si="1"/>
        <v>1.3784544675581474</v>
      </c>
      <c r="J46" s="11">
        <f>(SUM(G47:$G$79)*$I$1)</f>
        <v>0.35754257758181357</v>
      </c>
      <c r="K46" s="11">
        <f t="shared" si="6"/>
        <v>-0.26545577307604434</v>
      </c>
      <c r="Q46" s="65">
        <v>42</v>
      </c>
      <c r="R46" s="66">
        <f>Inputs!H49</f>
        <v>9.990000000000001E-4</v>
      </c>
    </row>
    <row r="47" spans="1:18" x14ac:dyDescent="0.25">
      <c r="A47">
        <f t="shared" si="2"/>
        <v>112</v>
      </c>
      <c r="B47">
        <v>43</v>
      </c>
      <c r="C47" s="12">
        <f t="shared" si="3"/>
        <v>0.4</v>
      </c>
      <c r="D47" s="10">
        <f t="shared" si="4"/>
        <v>0.6</v>
      </c>
      <c r="E47" s="198">
        <f>IF(B47&lt;=$C$2,1,IF(B47=$C$2+1,PRODUCT($D$5:D47),E46*D47))</f>
        <v>1.6541453610697767E-4</v>
      </c>
      <c r="F47" s="10">
        <f t="shared" si="0"/>
        <v>0.18516820225639813</v>
      </c>
      <c r="G47" s="10">
        <f t="shared" si="5"/>
        <v>3.0629512278005112E-5</v>
      </c>
      <c r="I47" s="13">
        <f t="shared" si="1"/>
        <v>0.82707268053488836</v>
      </c>
      <c r="J47" s="11">
        <f>(SUM(G48:$G$79)*$I$1)</f>
        <v>0.20439501619178807</v>
      </c>
      <c r="K47" s="11">
        <f t="shared" si="6"/>
        <v>-0.1531475613900255</v>
      </c>
      <c r="Q47" s="65">
        <v>43</v>
      </c>
      <c r="R47" s="66">
        <f>Inputs!H50</f>
        <v>1.0690000000000001E-3</v>
      </c>
    </row>
    <row r="48" spans="1:18" x14ac:dyDescent="0.25">
      <c r="A48">
        <f t="shared" si="2"/>
        <v>113</v>
      </c>
      <c r="B48">
        <v>44</v>
      </c>
      <c r="C48" s="12">
        <f t="shared" si="3"/>
        <v>0.4</v>
      </c>
      <c r="D48" s="10">
        <f t="shared" si="4"/>
        <v>0.6</v>
      </c>
      <c r="E48" s="198">
        <f>IF(B48&lt;=$C$2,1,IF(B48=$C$2+1,PRODUCT($D$5:D48),E47*D48))</f>
        <v>9.9248721664186603E-5</v>
      </c>
      <c r="F48" s="10">
        <f t="shared" si="0"/>
        <v>0.17804634832345972</v>
      </c>
      <c r="G48" s="10">
        <f t="shared" si="5"/>
        <v>1.767087246807987E-5</v>
      </c>
      <c r="I48" s="13">
        <f t="shared" si="1"/>
        <v>0.49624360832093301</v>
      </c>
      <c r="J48" s="11">
        <f>(SUM(G49:$G$79)*$I$1)</f>
        <v>0.11604065385138872</v>
      </c>
      <c r="K48" s="11">
        <f t="shared" si="6"/>
        <v>-8.8354362340399353E-2</v>
      </c>
      <c r="Q48" s="65">
        <v>44</v>
      </c>
      <c r="R48" s="66">
        <f>Inputs!H51</f>
        <v>1.142E-3</v>
      </c>
    </row>
    <row r="49" spans="1:18" x14ac:dyDescent="0.25">
      <c r="A49">
        <f t="shared" si="2"/>
        <v>114</v>
      </c>
      <c r="B49">
        <v>45</v>
      </c>
      <c r="C49" s="12">
        <f t="shared" si="3"/>
        <v>0.4</v>
      </c>
      <c r="D49" s="10">
        <f t="shared" si="4"/>
        <v>0.6</v>
      </c>
      <c r="E49" s="198">
        <f>IF(B49&lt;=$C$2,1,IF(B49=$C$2+1,PRODUCT($D$5:D49),E48*D49))</f>
        <v>5.9549232998511959E-5</v>
      </c>
      <c r="F49" s="10">
        <f t="shared" si="0"/>
        <v>0.17119841184948048</v>
      </c>
      <c r="G49" s="10">
        <f t="shared" si="5"/>
        <v>1.0194734116199924E-5</v>
      </c>
      <c r="I49" s="13">
        <f t="shared" si="1"/>
        <v>0.29774616499255979</v>
      </c>
      <c r="J49" s="11">
        <f>(SUM(G50:$G$79)*$I$1)</f>
        <v>6.5066983270389081E-2</v>
      </c>
      <c r="K49" s="11">
        <f t="shared" si="6"/>
        <v>-5.0973670580999636E-2</v>
      </c>
      <c r="Q49" s="65">
        <v>45</v>
      </c>
      <c r="R49" s="66">
        <f>Inputs!H52</f>
        <v>1.219E-3</v>
      </c>
    </row>
    <row r="50" spans="1:18" x14ac:dyDescent="0.25">
      <c r="A50">
        <f t="shared" si="2"/>
        <v>115</v>
      </c>
      <c r="B50">
        <v>46</v>
      </c>
      <c r="C50" s="12">
        <f t="shared" si="3"/>
        <v>0.4</v>
      </c>
      <c r="D50" s="10">
        <f t="shared" si="4"/>
        <v>0.6</v>
      </c>
      <c r="E50" s="198">
        <f>IF(B50&lt;=$C$2,1,IF(B50=$C$2+1,PRODUCT($D$5:D50),E49*D50))</f>
        <v>3.5729539799107177E-5</v>
      </c>
      <c r="F50" s="10">
        <f t="shared" si="0"/>
        <v>0.1646138575475774</v>
      </c>
      <c r="G50" s="10">
        <f t="shared" si="5"/>
        <v>5.881577374730726E-6</v>
      </c>
      <c r="I50" s="13">
        <f t="shared" si="1"/>
        <v>0.17864769899553587</v>
      </c>
      <c r="J50" s="11">
        <f>(SUM(G51:$G$79)*$I$1)</f>
        <v>3.5659096396735451E-2</v>
      </c>
      <c r="K50" s="11">
        <f t="shared" si="6"/>
        <v>-2.940788687365363E-2</v>
      </c>
      <c r="Q50" s="65">
        <v>46</v>
      </c>
      <c r="R50" s="66">
        <f>Inputs!H53</f>
        <v>1.3179999999999999E-3</v>
      </c>
    </row>
    <row r="51" spans="1:18" x14ac:dyDescent="0.25">
      <c r="A51">
        <f t="shared" si="2"/>
        <v>116</v>
      </c>
      <c r="B51">
        <v>47</v>
      </c>
      <c r="C51" s="12">
        <f t="shared" si="3"/>
        <v>0.4</v>
      </c>
      <c r="D51" s="10">
        <f t="shared" si="4"/>
        <v>0.6</v>
      </c>
      <c r="E51" s="198">
        <f>IF(B51&lt;=$C$2,1,IF(B51=$C$2+1,PRODUCT($D$5:D51),E50*D51))</f>
        <v>2.1437723879464307E-5</v>
      </c>
      <c r="F51" s="10">
        <f t="shared" si="0"/>
        <v>0.15828255533420904</v>
      </c>
      <c r="G51" s="10">
        <f t="shared" si="5"/>
        <v>3.3932177161908038E-6</v>
      </c>
      <c r="I51" s="13">
        <f t="shared" si="1"/>
        <v>0.10718861939732154</v>
      </c>
      <c r="J51" s="11">
        <f>(SUM(G52:$G$79)*$I$1)</f>
        <v>1.8693007815781433E-2</v>
      </c>
      <c r="K51" s="11">
        <f t="shared" si="6"/>
        <v>-1.6966088580954018E-2</v>
      </c>
      <c r="Q51" s="65">
        <v>47</v>
      </c>
      <c r="R51" s="66">
        <f>Inputs!H54</f>
        <v>1.454E-3</v>
      </c>
    </row>
    <row r="52" spans="1:18" x14ac:dyDescent="0.25">
      <c r="A52">
        <f t="shared" si="2"/>
        <v>117</v>
      </c>
      <c r="B52">
        <v>48</v>
      </c>
      <c r="C52" s="12">
        <f t="shared" si="3"/>
        <v>0.4</v>
      </c>
      <c r="D52" s="10">
        <f t="shared" si="4"/>
        <v>0.6</v>
      </c>
      <c r="E52" s="198">
        <f>IF(B52&lt;=$C$2,1,IF(B52=$C$2+1,PRODUCT($D$5:D52),E51*D52))</f>
        <v>1.2862634327678584E-5</v>
      </c>
      <c r="F52" s="10">
        <f t="shared" si="0"/>
        <v>0.15219476474443175</v>
      </c>
      <c r="G52" s="10">
        <f t="shared" si="5"/>
        <v>1.9576256054946941E-6</v>
      </c>
      <c r="I52" s="13">
        <f t="shared" si="1"/>
        <v>6.4313171638392924E-2</v>
      </c>
      <c r="J52" s="11">
        <f>(SUM(G53:$G$79)*$I$1)</f>
        <v>8.9048797883079633E-3</v>
      </c>
      <c r="K52" s="11">
        <f t="shared" si="6"/>
        <v>-9.7881280274734698E-3</v>
      </c>
      <c r="Q52" s="65">
        <v>48</v>
      </c>
      <c r="R52" s="66">
        <f>Inputs!H55</f>
        <v>1.627E-3</v>
      </c>
    </row>
    <row r="53" spans="1:18" x14ac:dyDescent="0.25">
      <c r="A53">
        <f t="shared" si="2"/>
        <v>118</v>
      </c>
      <c r="B53">
        <v>49</v>
      </c>
      <c r="C53" s="12">
        <f t="shared" si="3"/>
        <v>0.4</v>
      </c>
      <c r="D53" s="10">
        <f t="shared" si="4"/>
        <v>0.6</v>
      </c>
      <c r="E53" s="198">
        <f>IF(B53&lt;=$C$2,1,IF(B53=$C$2+1,PRODUCT($D$5:D53),E52*D53))</f>
        <v>7.7175805966071506E-6</v>
      </c>
      <c r="F53" s="10">
        <f t="shared" si="0"/>
        <v>0.14634111994656898</v>
      </c>
      <c r="G53" s="10">
        <f t="shared" si="5"/>
        <v>1.1293993877854004E-6</v>
      </c>
      <c r="I53" s="13">
        <f t="shared" si="1"/>
        <v>3.858790298303575E-2</v>
      </c>
      <c r="J53" s="11">
        <f>(SUM(G54:$G$79)*$I$1)</f>
        <v>3.257882849380962E-3</v>
      </c>
      <c r="K53" s="11">
        <f t="shared" si="6"/>
        <v>-5.6469969389270017E-3</v>
      </c>
      <c r="Q53" s="65">
        <v>49</v>
      </c>
      <c r="R53" s="66">
        <f>Inputs!H56</f>
        <v>1.8289999999999999E-3</v>
      </c>
    </row>
    <row r="54" spans="1:18" x14ac:dyDescent="0.25">
      <c r="A54">
        <f t="shared" si="2"/>
        <v>119</v>
      </c>
      <c r="B54">
        <v>50</v>
      </c>
      <c r="C54" s="12">
        <f t="shared" si="3"/>
        <v>0.4</v>
      </c>
      <c r="D54" s="10">
        <f t="shared" si="4"/>
        <v>0.6</v>
      </c>
      <c r="E54" s="198">
        <f>IF(B54&lt;=$C$2,1,IF(B54=$C$2+1,PRODUCT($D$5:D54),E53*D54))</f>
        <v>4.6305483579642902E-6</v>
      </c>
      <c r="F54" s="10">
        <f t="shared" si="0"/>
        <v>0.14071261533323939</v>
      </c>
      <c r="G54" s="10">
        <f t="shared" si="5"/>
        <v>6.5157656987619244E-7</v>
      </c>
      <c r="I54" s="13">
        <f t="shared" si="1"/>
        <v>2.3152741789821452E-2</v>
      </c>
      <c r="J54" s="11">
        <f>(SUM(G55:$G$79)*$I$1)</f>
        <v>0</v>
      </c>
      <c r="K54" s="11">
        <f t="shared" si="6"/>
        <v>-3.257882849380962E-3</v>
      </c>
      <c r="Q54" s="65">
        <v>50</v>
      </c>
      <c r="R54" s="66">
        <f>Inputs!H57</f>
        <v>2.0569999999999998E-3</v>
      </c>
    </row>
    <row r="55" spans="1:18" x14ac:dyDescent="0.25">
      <c r="A55">
        <f t="shared" si="2"/>
        <v>120</v>
      </c>
      <c r="B55">
        <v>51</v>
      </c>
      <c r="C55" s="12">
        <f t="shared" si="3"/>
        <v>1</v>
      </c>
      <c r="D55" s="10">
        <f t="shared" si="4"/>
        <v>0</v>
      </c>
      <c r="E55" s="198">
        <f>IF(B55&lt;=$C$2,1,IF(B55=$C$2+1,PRODUCT($D$5:D55),E54*D55))</f>
        <v>0</v>
      </c>
      <c r="F55" s="10">
        <f t="shared" si="0"/>
        <v>0</v>
      </c>
      <c r="G55" s="10">
        <f t="shared" si="5"/>
        <v>0</v>
      </c>
      <c r="I55" s="13">
        <f t="shared" si="1"/>
        <v>0</v>
      </c>
      <c r="J55" s="11">
        <f>(SUM(G56:$G$79)*$I$1)</f>
        <v>0</v>
      </c>
      <c r="K55" s="11">
        <f t="shared" si="6"/>
        <v>0</v>
      </c>
      <c r="Q55" s="65">
        <v>51</v>
      </c>
      <c r="R55" s="66">
        <f>Inputs!H58</f>
        <v>2.3019999999999998E-3</v>
      </c>
    </row>
    <row r="56" spans="1:18" x14ac:dyDescent="0.25">
      <c r="C56" s="12"/>
      <c r="D56" s="10"/>
      <c r="E56" s="10"/>
      <c r="F56" s="10"/>
      <c r="G56" s="10"/>
      <c r="I56" s="13"/>
      <c r="J56" s="11"/>
      <c r="K56" s="11"/>
      <c r="Q56" s="65">
        <v>52</v>
      </c>
      <c r="R56" s="66">
        <f>Inputs!H59</f>
        <v>2.545E-3</v>
      </c>
    </row>
    <row r="57" spans="1:18" x14ac:dyDescent="0.25">
      <c r="C57" s="12"/>
      <c r="D57" s="10"/>
      <c r="E57" s="10"/>
      <c r="F57" s="10"/>
      <c r="G57" s="10"/>
      <c r="I57" s="13"/>
      <c r="J57" s="11"/>
      <c r="K57" s="11"/>
      <c r="Q57" s="65">
        <v>53</v>
      </c>
      <c r="R57" s="66">
        <f>Inputs!H60</f>
        <v>2.7789999999999998E-3</v>
      </c>
    </row>
    <row r="58" spans="1:18" x14ac:dyDescent="0.25">
      <c r="C58" s="12"/>
      <c r="D58" s="10"/>
      <c r="E58" s="10"/>
      <c r="F58" s="10"/>
      <c r="G58" s="10"/>
      <c r="I58" s="13"/>
      <c r="J58" s="11"/>
      <c r="K58" s="11"/>
      <c r="Q58" s="65">
        <v>54</v>
      </c>
      <c r="R58" s="66">
        <f>Inputs!H61</f>
        <v>3.0109999999999998E-3</v>
      </c>
    </row>
    <row r="59" spans="1:18" x14ac:dyDescent="0.25">
      <c r="C59" s="12"/>
      <c r="D59" s="10"/>
      <c r="E59" s="10"/>
      <c r="F59" s="10"/>
      <c r="G59" s="10"/>
      <c r="I59" s="13"/>
      <c r="J59" s="11"/>
      <c r="K59" s="11"/>
      <c r="Q59" s="65">
        <v>55</v>
      </c>
      <c r="R59" s="66">
        <f>Inputs!H62</f>
        <v>3.2539999999999999E-3</v>
      </c>
    </row>
    <row r="60" spans="1:18" x14ac:dyDescent="0.25">
      <c r="C60" s="12"/>
      <c r="D60" s="10"/>
      <c r="E60" s="10"/>
      <c r="F60" s="10"/>
      <c r="G60" s="10"/>
      <c r="I60" s="13"/>
      <c r="J60" s="11"/>
      <c r="K60" s="11"/>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c r="E125" s="35"/>
      <c r="F125" s="3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55">
    <cfRule type="cellIs" dxfId="25"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30"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67</v>
      </c>
      <c r="I1" s="3">
        <v>5000</v>
      </c>
      <c r="J1" s="181" t="s">
        <v>173</v>
      </c>
      <c r="L1" s="1"/>
      <c r="M1" s="4"/>
      <c r="N1" s="4"/>
      <c r="O1" s="4"/>
      <c r="P1" s="4"/>
      <c r="Q1" s="64"/>
      <c r="R1" s="28"/>
    </row>
    <row r="2" spans="1:18" ht="15.75" customHeight="1" thickBot="1" x14ac:dyDescent="0.3">
      <c r="B2" t="s">
        <v>227</v>
      </c>
      <c r="C2">
        <v>0</v>
      </c>
      <c r="F2" s="5">
        <f>'Asset and Liability Durations'!N17</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7.871231511658789</v>
      </c>
      <c r="N3" s="10"/>
      <c r="O3" s="10"/>
      <c r="P3" s="10"/>
      <c r="Q3" s="31"/>
      <c r="R3" s="32"/>
    </row>
    <row r="4" spans="1:18" x14ac:dyDescent="0.25">
      <c r="A4">
        <v>74</v>
      </c>
      <c r="B4">
        <v>0</v>
      </c>
      <c r="C4" s="8"/>
      <c r="D4" s="7"/>
      <c r="E4" s="7"/>
      <c r="F4" s="7"/>
      <c r="G4" s="10">
        <v>1</v>
      </c>
      <c r="J4" s="11">
        <f>(SUM(G5:$G$79)*$I$1)</f>
        <v>49554.0768572901</v>
      </c>
      <c r="Q4" s="65">
        <v>0</v>
      </c>
      <c r="R4" s="66">
        <f>Inputs!H7</f>
        <v>1.6050000000000001E-3</v>
      </c>
    </row>
    <row r="5" spans="1:18" ht="15.75" thickBot="1" x14ac:dyDescent="0.3">
      <c r="A5">
        <f>B5+$A$4</f>
        <v>75</v>
      </c>
      <c r="B5">
        <v>1</v>
      </c>
      <c r="C5" s="12">
        <f>VLOOKUP(A5,$Q$4:$R$124,2,FALSE)</f>
        <v>1.8814999999999998E-2</v>
      </c>
      <c r="D5" s="10">
        <f>1-C5</f>
        <v>0.98118499999999997</v>
      </c>
      <c r="E5" s="198">
        <f>IF(B5&lt;=$C$2,1,IF(B5=$C$2+1,PRODUCT($D$5:D5),E4*D5))</f>
        <v>0.98118499999999997</v>
      </c>
      <c r="F5" s="10">
        <f t="shared" ref="F5:F50" si="0">IF(D5=0,0,(1+$F$2)^-B5)</f>
        <v>0.96153846153846145</v>
      </c>
      <c r="G5" s="10">
        <f>F5*E5</f>
        <v>0.94344711538461523</v>
      </c>
      <c r="I5" s="13">
        <f t="shared" ref="I5:I50" si="1">E5*$I$1</f>
        <v>4905.9250000000002</v>
      </c>
      <c r="J5" s="11">
        <f>(SUM(G6:$G$79)*$I$1)</f>
        <v>44836.841280367014</v>
      </c>
      <c r="K5" s="11">
        <f>J5-J4</f>
        <v>-4717.2355769230853</v>
      </c>
      <c r="L5" s="14" t="s">
        <v>16</v>
      </c>
      <c r="M5" s="14" t="s">
        <v>17</v>
      </c>
      <c r="N5" s="14" t="s">
        <v>18</v>
      </c>
      <c r="O5" s="14" t="s">
        <v>47</v>
      </c>
      <c r="Q5" s="65">
        <v>1</v>
      </c>
      <c r="R5" s="66">
        <f>Inputs!H8</f>
        <v>4.0099999999999999E-4</v>
      </c>
    </row>
    <row r="6" spans="1:18" x14ac:dyDescent="0.25">
      <c r="A6">
        <f t="shared" ref="A6:A50" si="2">B6+$A$4</f>
        <v>76</v>
      </c>
      <c r="B6">
        <v>2</v>
      </c>
      <c r="C6" s="12">
        <f t="shared" ref="C6:C50" si="3">VLOOKUP(A6,$Q$4:$R$124,2,FALSE)</f>
        <v>2.1031000000000001E-2</v>
      </c>
      <c r="D6" s="10">
        <f t="shared" ref="D6:D50" si="4">1-C6</f>
        <v>0.97896899999999998</v>
      </c>
      <c r="E6" s="198">
        <f>IF(B6&lt;=$C$2,1,IF(B6=$C$2+1,PRODUCT($D$5:D6),E5*D6))</f>
        <v>0.96054969826499992</v>
      </c>
      <c r="F6" s="10">
        <f t="shared" si="0"/>
        <v>0.92455621301775137</v>
      </c>
      <c r="G6" s="10">
        <f t="shared" ref="G6:G50" si="5">F6*E6</f>
        <v>0.88808219144323208</v>
      </c>
      <c r="I6" s="13">
        <f t="shared" si="1"/>
        <v>4802.748491325</v>
      </c>
      <c r="J6" s="11">
        <f>(SUM(G7:$G$79)*$I$1)</f>
        <v>40396.430323150846</v>
      </c>
      <c r="K6" s="11">
        <f t="shared" ref="K6:K50" si="6">J6-J5</f>
        <v>-4440.4109572161688</v>
      </c>
      <c r="L6" s="14">
        <v>2</v>
      </c>
      <c r="M6" s="54" t="s">
        <v>44</v>
      </c>
      <c r="N6" s="15">
        <f>SUM(I5:I7)</f>
        <v>14398.36528316421</v>
      </c>
      <c r="O6" s="16">
        <f>N6/SUM($N$6:$N$9)</f>
        <v>0.20789160821447905</v>
      </c>
      <c r="Q6" s="65">
        <v>2</v>
      </c>
      <c r="R6" s="66">
        <f>Inputs!H9</f>
        <v>2.7500000000000002E-4</v>
      </c>
    </row>
    <row r="7" spans="1:18" x14ac:dyDescent="0.25">
      <c r="A7">
        <f t="shared" si="2"/>
        <v>77</v>
      </c>
      <c r="B7">
        <v>3</v>
      </c>
      <c r="C7" s="12">
        <f t="shared" si="3"/>
        <v>2.3539999999999998E-2</v>
      </c>
      <c r="D7" s="10">
        <f t="shared" si="4"/>
        <v>0.97645999999999999</v>
      </c>
      <c r="E7" s="198">
        <f>IF(B7&lt;=$C$2,1,IF(B7=$C$2+1,PRODUCT($D$5:D7),E6*D7))</f>
        <v>0.93793835836784178</v>
      </c>
      <c r="F7" s="10">
        <f t="shared" si="0"/>
        <v>0.88899635867091487</v>
      </c>
      <c r="G7" s="10">
        <f t="shared" si="5"/>
        <v>0.83382378524678691</v>
      </c>
      <c r="I7" s="13">
        <f t="shared" si="1"/>
        <v>4689.6917918392091</v>
      </c>
      <c r="J7" s="11">
        <f>(SUM(G8:$G$79)*$I$1)</f>
        <v>36227.311396916906</v>
      </c>
      <c r="K7" s="11">
        <f t="shared" si="6"/>
        <v>-4169.1189262339394</v>
      </c>
      <c r="L7" s="14">
        <v>5</v>
      </c>
      <c r="M7" s="19" t="s">
        <v>45</v>
      </c>
      <c r="N7" s="17">
        <f>SUM(I8:I11)</f>
        <v>17403.628525908851</v>
      </c>
      <c r="O7" s="18">
        <f>N7/SUM($N$6:$N$9)</f>
        <v>0.25128327083416385</v>
      </c>
      <c r="Q7" s="65">
        <v>3</v>
      </c>
      <c r="R7" s="66">
        <f>Inputs!H10</f>
        <v>2.2900000000000001E-4</v>
      </c>
    </row>
    <row r="8" spans="1:18" x14ac:dyDescent="0.25">
      <c r="A8">
        <f t="shared" si="2"/>
        <v>78</v>
      </c>
      <c r="B8">
        <v>4</v>
      </c>
      <c r="C8" s="12">
        <f t="shared" si="3"/>
        <v>2.6374999999999999E-2</v>
      </c>
      <c r="D8" s="10">
        <f t="shared" si="4"/>
        <v>0.97362499999999996</v>
      </c>
      <c r="E8" s="198">
        <f>IF(B8&lt;=$C$2,1,IF(B8=$C$2+1,PRODUCT($D$5:D8),E7*D8))</f>
        <v>0.91320023416588991</v>
      </c>
      <c r="F8" s="10">
        <f t="shared" si="0"/>
        <v>0.85480419102972571</v>
      </c>
      <c r="G8" s="10">
        <f>F8*E8</f>
        <v>0.78060738741432967</v>
      </c>
      <c r="I8" s="13">
        <f t="shared" si="1"/>
        <v>4566.0011708294496</v>
      </c>
      <c r="J8" s="11">
        <f>(SUM(G9:$G$79)*$I$1)</f>
        <v>32324.274459845255</v>
      </c>
      <c r="K8" s="11">
        <f t="shared" si="6"/>
        <v>-3903.0369370716508</v>
      </c>
      <c r="L8" s="14">
        <v>10</v>
      </c>
      <c r="M8" s="19" t="s">
        <v>46</v>
      </c>
      <c r="N8" s="17">
        <f>SUM(I12:I19)</f>
        <v>25636.55653345503</v>
      </c>
      <c r="O8" s="18">
        <f>N8/SUM($N$6:$N$9)</f>
        <v>0.37015486563972827</v>
      </c>
      <c r="Q8" s="65">
        <v>4</v>
      </c>
      <c r="R8" s="66">
        <f>Inputs!H11</f>
        <v>1.74E-4</v>
      </c>
    </row>
    <row r="9" spans="1:18" ht="15.75" thickBot="1" x14ac:dyDescent="0.3">
      <c r="A9">
        <f t="shared" si="2"/>
        <v>79</v>
      </c>
      <c r="B9">
        <v>5</v>
      </c>
      <c r="C9" s="12">
        <f t="shared" si="3"/>
        <v>2.9572000000000001E-2</v>
      </c>
      <c r="D9" s="10">
        <f t="shared" si="4"/>
        <v>0.97042799999999996</v>
      </c>
      <c r="E9" s="198">
        <f>IF(B9&lt;=$C$2,1,IF(B9=$C$2+1,PRODUCT($D$5:D9),E8*D9))</f>
        <v>0.88619507684113619</v>
      </c>
      <c r="F9" s="10">
        <f t="shared" si="0"/>
        <v>0.82192710675935154</v>
      </c>
      <c r="G9" s="10">
        <f t="shared" si="5"/>
        <v>0.7283877555324163</v>
      </c>
      <c r="I9" s="13">
        <f t="shared" si="1"/>
        <v>4430.9753842056807</v>
      </c>
      <c r="J9" s="11">
        <f>(SUM(G10:$G$79)*$I$1)</f>
        <v>28682.335682183173</v>
      </c>
      <c r="K9" s="11">
        <f t="shared" si="6"/>
        <v>-3641.9387776620824</v>
      </c>
      <c r="L9" s="14">
        <v>30</v>
      </c>
      <c r="M9" s="20" t="s">
        <v>48</v>
      </c>
      <c r="N9" s="21">
        <f>SUM(I20:I70)</f>
        <v>11820.451532668358</v>
      </c>
      <c r="O9" s="22">
        <f>N9/SUM($N$6:$N$9)</f>
        <v>0.17067025531162883</v>
      </c>
      <c r="Q9" s="65">
        <v>5</v>
      </c>
      <c r="R9" s="66">
        <f>Inputs!H12</f>
        <v>1.6799999999999999E-4</v>
      </c>
    </row>
    <row r="10" spans="1:18" x14ac:dyDescent="0.25">
      <c r="A10">
        <f t="shared" si="2"/>
        <v>80</v>
      </c>
      <c r="B10">
        <v>6</v>
      </c>
      <c r="C10" s="12">
        <f t="shared" si="3"/>
        <v>3.3234E-2</v>
      </c>
      <c r="D10" s="10">
        <f t="shared" si="4"/>
        <v>0.96676600000000001</v>
      </c>
      <c r="E10" s="198">
        <f>IF(B10&lt;=$C$2,1,IF(B10=$C$2+1,PRODUCT($D$5:D10),E9*D10))</f>
        <v>0.85674326965739789</v>
      </c>
      <c r="F10" s="10">
        <f t="shared" si="0"/>
        <v>0.79031452573014571</v>
      </c>
      <c r="G10" s="10">
        <f t="shared" si="5"/>
        <v>0.67709665083178072</v>
      </c>
      <c r="I10" s="13">
        <f t="shared" si="1"/>
        <v>4283.7163482869892</v>
      </c>
      <c r="J10" s="11">
        <f>(SUM(G11:$G$79)*$I$1)</f>
        <v>25296.852428024267</v>
      </c>
      <c r="K10" s="11">
        <f t="shared" si="6"/>
        <v>-3385.4832541589058</v>
      </c>
      <c r="L10" s="53">
        <f>+SUMPRODUCT(L6:L9,O6:O9)</f>
        <v>10.493855886345925</v>
      </c>
      <c r="O10" s="23">
        <f>SUM(O6:O9)</f>
        <v>1</v>
      </c>
      <c r="Q10" s="65">
        <v>6</v>
      </c>
      <c r="R10" s="66">
        <f>Inputs!H13</f>
        <v>1.65E-4</v>
      </c>
    </row>
    <row r="11" spans="1:18" x14ac:dyDescent="0.25">
      <c r="A11">
        <f t="shared" si="2"/>
        <v>81</v>
      </c>
      <c r="B11">
        <v>7</v>
      </c>
      <c r="C11" s="12">
        <f t="shared" si="3"/>
        <v>3.7532999999999997E-2</v>
      </c>
      <c r="D11" s="10">
        <f t="shared" si="4"/>
        <v>0.96246699999999996</v>
      </c>
      <c r="E11" s="198">
        <f>IF(B11&lt;=$C$2,1,IF(B11=$C$2+1,PRODUCT($D$5:D11),E10*D11))</f>
        <v>0.82458712451734673</v>
      </c>
      <c r="F11" s="10">
        <f t="shared" si="0"/>
        <v>0.75991781320206331</v>
      </c>
      <c r="G11" s="10">
        <f t="shared" si="5"/>
        <v>0.62661844445779957</v>
      </c>
      <c r="I11" s="13">
        <f t="shared" si="1"/>
        <v>4122.9356225867332</v>
      </c>
      <c r="J11" s="11">
        <f>(SUM(G12:$G$79)*$I$1)</f>
        <v>22163.760205735267</v>
      </c>
      <c r="K11" s="11">
        <f t="shared" si="6"/>
        <v>-3133.0922222890003</v>
      </c>
      <c r="Q11" s="65">
        <v>7</v>
      </c>
      <c r="R11" s="66">
        <f>Inputs!H14</f>
        <v>1.5899999999999999E-4</v>
      </c>
    </row>
    <row r="12" spans="1:18" x14ac:dyDescent="0.25">
      <c r="A12">
        <f t="shared" si="2"/>
        <v>82</v>
      </c>
      <c r="B12">
        <v>8</v>
      </c>
      <c r="C12" s="12">
        <f t="shared" si="3"/>
        <v>4.2261E-2</v>
      </c>
      <c r="D12" s="10">
        <f t="shared" si="4"/>
        <v>0.95773900000000001</v>
      </c>
      <c r="E12" s="198">
        <f>IF(B12&lt;=$C$2,1,IF(B12=$C$2+1,PRODUCT($D$5:D12),E11*D12))</f>
        <v>0.78973924804811912</v>
      </c>
      <c r="F12" s="10">
        <f t="shared" si="0"/>
        <v>0.73069020500198378</v>
      </c>
      <c r="G12" s="10">
        <f t="shared" si="5"/>
        <v>0.5770547330543927</v>
      </c>
      <c r="I12" s="13">
        <f t="shared" si="1"/>
        <v>3948.6962402405957</v>
      </c>
      <c r="J12" s="11">
        <f>(SUM(G13:$G$79)*$I$1)</f>
        <v>19278.486540463302</v>
      </c>
      <c r="K12" s="11">
        <f t="shared" si="6"/>
        <v>-2885.273665271965</v>
      </c>
      <c r="Q12" s="65">
        <v>8</v>
      </c>
      <c r="R12" s="66">
        <f>Inputs!H15</f>
        <v>1.4300000000000001E-4</v>
      </c>
    </row>
    <row r="13" spans="1:18" x14ac:dyDescent="0.25">
      <c r="A13">
        <f t="shared" si="2"/>
        <v>83</v>
      </c>
      <c r="B13">
        <v>9</v>
      </c>
      <c r="C13" s="12">
        <f t="shared" si="3"/>
        <v>4.7440999999999997E-2</v>
      </c>
      <c r="D13" s="10">
        <f t="shared" si="4"/>
        <v>0.95255900000000004</v>
      </c>
      <c r="E13" s="198">
        <f>IF(B13&lt;=$C$2,1,IF(B13=$C$2+1,PRODUCT($D$5:D13),E12*D13))</f>
        <v>0.75227322838146837</v>
      </c>
      <c r="F13" s="10">
        <f t="shared" si="0"/>
        <v>0.70258673557883045</v>
      </c>
      <c r="G13" s="10">
        <f t="shared" si="5"/>
        <v>0.52853719179188385</v>
      </c>
      <c r="I13" s="13">
        <f t="shared" si="1"/>
        <v>3761.3661419073419</v>
      </c>
      <c r="J13" s="11">
        <f>(SUM(G14:$G$79)*$I$1)</f>
        <v>16635.800581503881</v>
      </c>
      <c r="K13" s="11">
        <f t="shared" si="6"/>
        <v>-2642.6859589594205</v>
      </c>
      <c r="Q13" s="65">
        <v>9</v>
      </c>
      <c r="R13" s="66">
        <f>Inputs!H16</f>
        <v>1.2899999999999999E-4</v>
      </c>
    </row>
    <row r="14" spans="1:18" x14ac:dyDescent="0.25">
      <c r="A14">
        <f t="shared" si="2"/>
        <v>84</v>
      </c>
      <c r="B14">
        <v>10</v>
      </c>
      <c r="C14" s="12">
        <f t="shared" si="3"/>
        <v>5.3233000000000003E-2</v>
      </c>
      <c r="D14" s="10">
        <f t="shared" si="4"/>
        <v>0.94676700000000003</v>
      </c>
      <c r="E14" s="198">
        <f>IF(B14&lt;=$C$2,1,IF(B14=$C$2+1,PRODUCT($D$5:D14),E13*D14))</f>
        <v>0.71222746761503763</v>
      </c>
      <c r="F14" s="10">
        <f t="shared" si="0"/>
        <v>0.67556416882579851</v>
      </c>
      <c r="G14" s="10">
        <f t="shared" si="5"/>
        <v>0.48115535717425623</v>
      </c>
      <c r="I14" s="13">
        <f t="shared" si="1"/>
        <v>3561.1373380751884</v>
      </c>
      <c r="J14" s="11">
        <f>(SUM(G15:$G$79)*$I$1)</f>
        <v>14230.0237956326</v>
      </c>
      <c r="K14" s="11">
        <f t="shared" si="6"/>
        <v>-2405.7767858712814</v>
      </c>
      <c r="Q14" s="65">
        <v>10</v>
      </c>
      <c r="R14" s="66">
        <f>Inputs!H17</f>
        <v>1.13E-4</v>
      </c>
    </row>
    <row r="15" spans="1:18" x14ac:dyDescent="0.25">
      <c r="A15">
        <f t="shared" si="2"/>
        <v>85</v>
      </c>
      <c r="B15">
        <v>11</v>
      </c>
      <c r="C15" s="12">
        <f t="shared" si="3"/>
        <v>5.9854999999999998E-2</v>
      </c>
      <c r="D15" s="10">
        <f t="shared" si="4"/>
        <v>0.94014500000000001</v>
      </c>
      <c r="E15" s="198">
        <f>IF(B15&lt;=$C$2,1,IF(B15=$C$2+1,PRODUCT($D$5:D15),E14*D15))</f>
        <v>0.66959709254093958</v>
      </c>
      <c r="F15" s="10">
        <f t="shared" si="0"/>
        <v>0.6495809315632679</v>
      </c>
      <c r="G15" s="10">
        <f t="shared" si="5"/>
        <v>0.43495750314479925</v>
      </c>
      <c r="I15" s="13">
        <f t="shared" si="1"/>
        <v>3347.985462704698</v>
      </c>
      <c r="J15" s="11">
        <f>(SUM(G16:$G$79)*$I$1)</f>
        <v>12055.236279908608</v>
      </c>
      <c r="K15" s="11">
        <f t="shared" si="6"/>
        <v>-2174.7875157239923</v>
      </c>
      <c r="Q15" s="65">
        <v>11</v>
      </c>
      <c r="R15" s="66">
        <f>Inputs!H18</f>
        <v>1.11E-4</v>
      </c>
    </row>
    <row r="16" spans="1:18" x14ac:dyDescent="0.25">
      <c r="A16">
        <f t="shared" si="2"/>
        <v>86</v>
      </c>
      <c r="B16">
        <v>12</v>
      </c>
      <c r="C16" s="12">
        <f t="shared" si="3"/>
        <v>6.7514000000000005E-2</v>
      </c>
      <c r="D16" s="10">
        <f t="shared" si="4"/>
        <v>0.93248600000000004</v>
      </c>
      <c r="E16" s="198">
        <f>IF(B16&lt;=$C$2,1,IF(B16=$C$2+1,PRODUCT($D$5:D16),E15*D16))</f>
        <v>0.62438991443513059</v>
      </c>
      <c r="F16" s="10">
        <f t="shared" si="0"/>
        <v>0.62459704958006512</v>
      </c>
      <c r="G16" s="10">
        <f t="shared" si="5"/>
        <v>0.38999209834373189</v>
      </c>
      <c r="I16" s="13">
        <f t="shared" si="1"/>
        <v>3121.949572175653</v>
      </c>
      <c r="J16" s="11">
        <f>(SUM(G17:$G$79)*$I$1)</f>
        <v>10105.275788189951</v>
      </c>
      <c r="K16" s="11">
        <f t="shared" si="6"/>
        <v>-1949.9604917186571</v>
      </c>
      <c r="Q16" s="65">
        <v>12</v>
      </c>
      <c r="R16" s="66">
        <f>Inputs!H19</f>
        <v>1.3200000000000001E-4</v>
      </c>
    </row>
    <row r="17" spans="1:18" x14ac:dyDescent="0.25">
      <c r="A17">
        <f t="shared" si="2"/>
        <v>87</v>
      </c>
      <c r="B17">
        <v>13</v>
      </c>
      <c r="C17" s="12">
        <f t="shared" si="3"/>
        <v>7.6340000000000005E-2</v>
      </c>
      <c r="D17" s="10">
        <f t="shared" si="4"/>
        <v>0.92366000000000004</v>
      </c>
      <c r="E17" s="198">
        <f>IF(B17&lt;=$C$2,1,IF(B17=$C$2+1,PRODUCT($D$5:D17),E16*D17))</f>
        <v>0.57672398836715277</v>
      </c>
      <c r="F17" s="10">
        <f t="shared" si="0"/>
        <v>0.600574086134678</v>
      </c>
      <c r="G17" s="10">
        <f t="shared" si="5"/>
        <v>0.34636548226554942</v>
      </c>
      <c r="I17" s="13">
        <f t="shared" si="1"/>
        <v>2883.6199418357637</v>
      </c>
      <c r="J17" s="11">
        <f>(SUM(G18:$G$79)*$I$1)</f>
        <v>8373.4483768622013</v>
      </c>
      <c r="K17" s="11">
        <f t="shared" si="6"/>
        <v>-1731.8274113277494</v>
      </c>
      <c r="Q17" s="65">
        <v>13</v>
      </c>
      <c r="R17" s="66">
        <f>Inputs!H20</f>
        <v>1.6899999999999999E-4</v>
      </c>
    </row>
    <row r="18" spans="1:18" x14ac:dyDescent="0.25">
      <c r="A18">
        <f t="shared" si="2"/>
        <v>88</v>
      </c>
      <c r="B18">
        <v>14</v>
      </c>
      <c r="C18" s="12">
        <f t="shared" si="3"/>
        <v>8.6388000000000006E-2</v>
      </c>
      <c r="D18" s="10">
        <f t="shared" si="4"/>
        <v>0.91361199999999998</v>
      </c>
      <c r="E18" s="198">
        <f>IF(B18&lt;=$C$2,1,IF(B18=$C$2+1,PRODUCT($D$5:D18),E17*D18))</f>
        <v>0.52690195646009119</v>
      </c>
      <c r="F18" s="10">
        <f t="shared" si="0"/>
        <v>0.57747508282180582</v>
      </c>
      <c r="G18" s="10">
        <f t="shared" si="5"/>
        <v>0.30427275094576267</v>
      </c>
      <c r="I18" s="13">
        <f t="shared" si="1"/>
        <v>2634.5097823004558</v>
      </c>
      <c r="J18" s="11">
        <f>(SUM(G19:$G$79)*$I$1)</f>
        <v>6852.0846221333886</v>
      </c>
      <c r="K18" s="11">
        <f t="shared" si="6"/>
        <v>-1521.3637547288126</v>
      </c>
      <c r="Q18" s="65">
        <v>14</v>
      </c>
      <c r="R18" s="66">
        <f>Inputs!H21</f>
        <v>2.13E-4</v>
      </c>
    </row>
    <row r="19" spans="1:18" x14ac:dyDescent="0.25">
      <c r="A19">
        <f t="shared" si="2"/>
        <v>89</v>
      </c>
      <c r="B19">
        <v>15</v>
      </c>
      <c r="C19" s="12">
        <f t="shared" si="3"/>
        <v>9.7633999999999999E-2</v>
      </c>
      <c r="D19" s="10">
        <f t="shared" si="4"/>
        <v>0.902366</v>
      </c>
      <c r="E19" s="198">
        <f>IF(B19&lt;=$C$2,1,IF(B19=$C$2+1,PRODUCT($D$5:D19),E18*D19))</f>
        <v>0.47545841084306667</v>
      </c>
      <c r="F19" s="10">
        <f t="shared" si="0"/>
        <v>0.55526450271327477</v>
      </c>
      <c r="G19" s="10">
        <f t="shared" si="5"/>
        <v>0.26400517805761931</v>
      </c>
      <c r="I19" s="13">
        <f t="shared" si="1"/>
        <v>2377.2920542153333</v>
      </c>
      <c r="J19" s="11">
        <f>(SUM(G20:$G$79)*$I$1)</f>
        <v>5532.0587318452908</v>
      </c>
      <c r="K19" s="11">
        <f t="shared" si="6"/>
        <v>-1320.0258902880978</v>
      </c>
      <c r="Q19" s="65">
        <v>15</v>
      </c>
      <c r="R19" s="66">
        <f>Inputs!H22</f>
        <v>2.5399999999999999E-4</v>
      </c>
    </row>
    <row r="20" spans="1:18" x14ac:dyDescent="0.25">
      <c r="A20">
        <f t="shared" si="2"/>
        <v>90</v>
      </c>
      <c r="B20">
        <v>16</v>
      </c>
      <c r="C20" s="12">
        <f t="shared" si="3"/>
        <v>0.10999299999999999</v>
      </c>
      <c r="D20" s="10">
        <f t="shared" si="4"/>
        <v>0.89000699999999999</v>
      </c>
      <c r="E20" s="198">
        <f>IF(B20&lt;=$C$2,1,IF(B20=$C$2+1,PRODUCT($D$5:D20),E19*D20))</f>
        <v>0.42316131385920525</v>
      </c>
      <c r="F20" s="10">
        <f t="shared" si="0"/>
        <v>0.53390817568584104</v>
      </c>
      <c r="G20" s="10">
        <f t="shared" si="5"/>
        <v>0.22592928510339189</v>
      </c>
      <c r="I20" s="13">
        <f t="shared" si="1"/>
        <v>2115.8065692960263</v>
      </c>
      <c r="J20" s="11">
        <f>(SUM(G21:$G$79)*$I$1)</f>
        <v>4402.4123063283341</v>
      </c>
      <c r="K20" s="11">
        <f t="shared" si="6"/>
        <v>-1129.6464255169567</v>
      </c>
      <c r="Q20" s="65">
        <v>16</v>
      </c>
      <c r="R20" s="66">
        <f>Inputs!H23</f>
        <v>2.9300000000000002E-4</v>
      </c>
    </row>
    <row r="21" spans="1:18" x14ac:dyDescent="0.25">
      <c r="A21">
        <f t="shared" si="2"/>
        <v>91</v>
      </c>
      <c r="B21">
        <v>17</v>
      </c>
      <c r="C21" s="12">
        <f t="shared" si="3"/>
        <v>0.12311900000000001</v>
      </c>
      <c r="D21" s="10">
        <f t="shared" si="4"/>
        <v>0.87688100000000002</v>
      </c>
      <c r="E21" s="198">
        <f>IF(B21&lt;=$C$2,1,IF(B21=$C$2+1,PRODUCT($D$5:D21),E20*D21))</f>
        <v>0.37106211605817374</v>
      </c>
      <c r="F21" s="10">
        <f t="shared" si="0"/>
        <v>0.51337324585177024</v>
      </c>
      <c r="G21" s="10">
        <f t="shared" si="5"/>
        <v>0.19049336293341093</v>
      </c>
      <c r="I21" s="13">
        <f t="shared" si="1"/>
        <v>1855.3105802908688</v>
      </c>
      <c r="J21" s="11">
        <f>(SUM(G22:$G$79)*$I$1)</f>
        <v>3449.9454916612804</v>
      </c>
      <c r="K21" s="11">
        <f t="shared" si="6"/>
        <v>-952.46681466705377</v>
      </c>
      <c r="Q21" s="65">
        <v>17</v>
      </c>
      <c r="R21" s="66">
        <f>Inputs!H24</f>
        <v>3.28E-4</v>
      </c>
    </row>
    <row r="22" spans="1:18" x14ac:dyDescent="0.25">
      <c r="A22">
        <f t="shared" si="2"/>
        <v>92</v>
      </c>
      <c r="B22">
        <v>18</v>
      </c>
      <c r="C22" s="12">
        <f t="shared" si="3"/>
        <v>0.13716800000000001</v>
      </c>
      <c r="D22" s="10">
        <f t="shared" si="4"/>
        <v>0.86283200000000004</v>
      </c>
      <c r="E22" s="198">
        <f>IF(B22&lt;=$C$2,1,IF(B22=$C$2+1,PRODUCT($D$5:D22),E21*D22))</f>
        <v>0.32016426772270618</v>
      </c>
      <c r="F22" s="10">
        <f t="shared" si="0"/>
        <v>0.49362812101131748</v>
      </c>
      <c r="G22" s="10">
        <f t="shared" si="5"/>
        <v>0.15804208589092386</v>
      </c>
      <c r="I22" s="13">
        <f t="shared" si="1"/>
        <v>1600.8213386135308</v>
      </c>
      <c r="J22" s="11">
        <f>(SUM(G23:$G$79)*$I$1)</f>
        <v>2659.735062206661</v>
      </c>
      <c r="K22" s="11">
        <f t="shared" si="6"/>
        <v>-790.21042945461932</v>
      </c>
      <c r="Q22" s="65">
        <v>18</v>
      </c>
      <c r="R22" s="66">
        <f>Inputs!H25</f>
        <v>3.59E-4</v>
      </c>
    </row>
    <row r="23" spans="1:18" x14ac:dyDescent="0.25">
      <c r="A23">
        <f t="shared" si="2"/>
        <v>93</v>
      </c>
      <c r="B23">
        <v>19</v>
      </c>
      <c r="C23" s="12">
        <f t="shared" si="3"/>
        <v>0.152171</v>
      </c>
      <c r="D23" s="10">
        <f t="shared" si="4"/>
        <v>0.84782899999999994</v>
      </c>
      <c r="E23" s="198">
        <f>IF(B23&lt;=$C$2,1,IF(B23=$C$2+1,PRODUCT($D$5:D23),E22*D23))</f>
        <v>0.27144455093907421</v>
      </c>
      <c r="F23" s="10">
        <f t="shared" si="0"/>
        <v>0.47464242404934376</v>
      </c>
      <c r="G23" s="10">
        <f t="shared" si="5"/>
        <v>0.12883909965270776</v>
      </c>
      <c r="I23" s="13">
        <f t="shared" si="1"/>
        <v>1357.2227546953711</v>
      </c>
      <c r="J23" s="11">
        <f>(SUM(G24:$G$79)*$I$1)</f>
        <v>2015.5395639431222</v>
      </c>
      <c r="K23" s="11">
        <f t="shared" si="6"/>
        <v>-644.19549826353887</v>
      </c>
      <c r="Q23" s="65">
        <v>19</v>
      </c>
      <c r="R23" s="66">
        <f>Inputs!H26</f>
        <v>3.8699999999999997E-4</v>
      </c>
    </row>
    <row r="24" spans="1:18" x14ac:dyDescent="0.25">
      <c r="A24">
        <f t="shared" si="2"/>
        <v>94</v>
      </c>
      <c r="B24">
        <v>20</v>
      </c>
      <c r="C24" s="12">
        <f t="shared" si="3"/>
        <v>0.16819400000000001</v>
      </c>
      <c r="D24" s="10">
        <f t="shared" si="4"/>
        <v>0.83180600000000005</v>
      </c>
      <c r="E24" s="198">
        <f>IF(B24&lt;=$C$2,1,IF(B24=$C$2+1,PRODUCT($D$5:D24),E23*D24))</f>
        <v>0.22578920613842757</v>
      </c>
      <c r="F24" s="10">
        <f t="shared" si="0"/>
        <v>0.45638694620129205</v>
      </c>
      <c r="G24" s="10">
        <f t="shared" si="5"/>
        <v>0.10304724627473098</v>
      </c>
      <c r="I24" s="13">
        <f t="shared" si="1"/>
        <v>1128.9460306921378</v>
      </c>
      <c r="J24" s="11">
        <f>(SUM(G25:$G$79)*$I$1)</f>
        <v>1500.3033325694673</v>
      </c>
      <c r="K24" s="11">
        <f t="shared" si="6"/>
        <v>-515.23623137365485</v>
      </c>
      <c r="Q24" s="65">
        <v>20</v>
      </c>
      <c r="R24" s="66">
        <f>Inputs!H27</f>
        <v>4.1399999999999998E-4</v>
      </c>
    </row>
    <row r="25" spans="1:18" x14ac:dyDescent="0.25">
      <c r="A25">
        <f t="shared" si="2"/>
        <v>95</v>
      </c>
      <c r="B25">
        <v>21</v>
      </c>
      <c r="C25" s="12">
        <f t="shared" si="3"/>
        <v>0.18526000000000001</v>
      </c>
      <c r="D25" s="10">
        <f t="shared" si="4"/>
        <v>0.81474000000000002</v>
      </c>
      <c r="E25" s="198">
        <f>IF(B25&lt;=$C$2,1,IF(B25=$C$2+1,PRODUCT($D$5:D25),E24*D25))</f>
        <v>0.18395949780922249</v>
      </c>
      <c r="F25" s="10">
        <f t="shared" si="0"/>
        <v>0.43883360211662686</v>
      </c>
      <c r="G25" s="10">
        <f t="shared" si="5"/>
        <v>8.0727609067186831E-2</v>
      </c>
      <c r="I25" s="13">
        <f t="shared" si="1"/>
        <v>919.79748904611245</v>
      </c>
      <c r="J25" s="11">
        <f>(SUM(G26:$G$79)*$I$1)</f>
        <v>1096.6652872335328</v>
      </c>
      <c r="K25" s="11">
        <f t="shared" si="6"/>
        <v>-403.63804533593452</v>
      </c>
      <c r="Q25" s="65">
        <v>21</v>
      </c>
      <c r="R25" s="66">
        <f>Inputs!H28</f>
        <v>4.4299999999999998E-4</v>
      </c>
    </row>
    <row r="26" spans="1:18" x14ac:dyDescent="0.25">
      <c r="A26">
        <f t="shared" si="2"/>
        <v>96</v>
      </c>
      <c r="B26">
        <v>22</v>
      </c>
      <c r="C26" s="12">
        <f t="shared" si="3"/>
        <v>0.197322</v>
      </c>
      <c r="D26" s="10">
        <f t="shared" si="4"/>
        <v>0.802678</v>
      </c>
      <c r="E26" s="198">
        <f>IF(B26&lt;=$C$2,1,IF(B26=$C$2+1,PRODUCT($D$5:D26),E25*D26))</f>
        <v>0.14766024178251108</v>
      </c>
      <c r="F26" s="10">
        <f t="shared" si="0"/>
        <v>0.42195538665060278</v>
      </c>
      <c r="G26" s="10">
        <f t="shared" si="5"/>
        <v>6.2306034414260955E-2</v>
      </c>
      <c r="I26" s="13">
        <f t="shared" si="1"/>
        <v>738.30120891255535</v>
      </c>
      <c r="J26" s="11">
        <f>(SUM(G27:$G$79)*$I$1)</f>
        <v>785.13511516222798</v>
      </c>
      <c r="K26" s="11">
        <f t="shared" si="6"/>
        <v>-311.53017207130483</v>
      </c>
      <c r="Q26" s="65">
        <v>22</v>
      </c>
      <c r="R26" s="66">
        <f>Inputs!H29</f>
        <v>4.73E-4</v>
      </c>
    </row>
    <row r="27" spans="1:18" x14ac:dyDescent="0.25">
      <c r="A27">
        <f t="shared" si="2"/>
        <v>97</v>
      </c>
      <c r="B27">
        <v>23</v>
      </c>
      <c r="C27" s="12">
        <f t="shared" si="3"/>
        <v>0.214751</v>
      </c>
      <c r="D27" s="10">
        <f t="shared" si="4"/>
        <v>0.78524899999999997</v>
      </c>
      <c r="E27" s="198">
        <f>IF(B27&lt;=$C$2,1,IF(B27=$C$2+1,PRODUCT($D$5:D27),E26*D27))</f>
        <v>0.11595005719947504</v>
      </c>
      <c r="F27" s="10">
        <f t="shared" si="0"/>
        <v>0.40572633331788732</v>
      </c>
      <c r="G27" s="10">
        <f t="shared" si="5"/>
        <v>4.7043991555542314E-2</v>
      </c>
      <c r="I27" s="13">
        <f t="shared" si="1"/>
        <v>579.75028599737516</v>
      </c>
      <c r="J27" s="11">
        <f>(SUM(G28:$G$79)*$I$1)</f>
        <v>549.91515738451642</v>
      </c>
      <c r="K27" s="11">
        <f t="shared" si="6"/>
        <v>-235.21995777771156</v>
      </c>
      <c r="Q27" s="65">
        <v>23</v>
      </c>
      <c r="R27" s="66">
        <f>Inputs!H30</f>
        <v>5.13E-4</v>
      </c>
    </row>
    <row r="28" spans="1:18" x14ac:dyDescent="0.25">
      <c r="A28">
        <f t="shared" si="2"/>
        <v>98</v>
      </c>
      <c r="B28">
        <v>24</v>
      </c>
      <c r="C28" s="12">
        <f t="shared" si="3"/>
        <v>0.23250699999999999</v>
      </c>
      <c r="D28" s="10">
        <f t="shared" si="4"/>
        <v>0.76749299999999998</v>
      </c>
      <c r="E28" s="198">
        <f>IF(B28&lt;=$C$2,1,IF(B28=$C$2+1,PRODUCT($D$5:D28),E27*D28))</f>
        <v>8.8990857250196703E-2</v>
      </c>
      <c r="F28" s="10">
        <f t="shared" si="0"/>
        <v>0.39012147434412242</v>
      </c>
      <c r="G28" s="10">
        <f t="shared" si="5"/>
        <v>3.4717244433594072E-2</v>
      </c>
      <c r="I28" s="13">
        <f t="shared" si="1"/>
        <v>444.9542862509835</v>
      </c>
      <c r="J28" s="11">
        <f>(SUM(G29:$G$79)*$I$1)</f>
        <v>376.32893521654614</v>
      </c>
      <c r="K28" s="11">
        <f t="shared" si="6"/>
        <v>-173.58622216797028</v>
      </c>
      <c r="Q28" s="65">
        <v>24</v>
      </c>
      <c r="R28" s="66">
        <f>Inputs!H31</f>
        <v>5.5400000000000002E-4</v>
      </c>
    </row>
    <row r="29" spans="1:18" x14ac:dyDescent="0.25">
      <c r="A29">
        <f t="shared" si="2"/>
        <v>99</v>
      </c>
      <c r="B29">
        <v>25</v>
      </c>
      <c r="C29" s="12">
        <f t="shared" si="3"/>
        <v>0.25039699999999998</v>
      </c>
      <c r="D29" s="10">
        <f t="shared" si="4"/>
        <v>0.74960300000000002</v>
      </c>
      <c r="E29" s="198">
        <f>IF(B29&lt;=$C$2,1,IF(B29=$C$2+1,PRODUCT($D$5:D29),E28*D29))</f>
        <v>6.6707813567319196E-2</v>
      </c>
      <c r="F29" s="10">
        <f t="shared" si="0"/>
        <v>0.37511680225396377</v>
      </c>
      <c r="G29" s="10">
        <f t="shared" si="5"/>
        <v>2.5023221710726355E-2</v>
      </c>
      <c r="I29" s="13">
        <f t="shared" si="1"/>
        <v>333.53906783659596</v>
      </c>
      <c r="J29" s="11">
        <f>(SUM(G30:$G$79)*$I$1)</f>
        <v>251.21282666291441</v>
      </c>
      <c r="K29" s="11">
        <f t="shared" si="6"/>
        <v>-125.11610855363173</v>
      </c>
      <c r="Q29" s="65">
        <v>25</v>
      </c>
      <c r="R29" s="66">
        <f>Inputs!H32</f>
        <v>6.02E-4</v>
      </c>
    </row>
    <row r="30" spans="1:18" x14ac:dyDescent="0.25">
      <c r="A30">
        <f t="shared" si="2"/>
        <v>100</v>
      </c>
      <c r="B30">
        <v>26</v>
      </c>
      <c r="C30" s="12">
        <f t="shared" si="3"/>
        <v>0.26860699999999998</v>
      </c>
      <c r="D30" s="10">
        <f t="shared" si="4"/>
        <v>0.73139299999999996</v>
      </c>
      <c r="E30" s="198">
        <f>IF(B30&lt;=$C$2,1,IF(B30=$C$2+1,PRODUCT($D$5:D30),E29*D30))</f>
        <v>4.8789627888442287E-2</v>
      </c>
      <c r="F30" s="10">
        <f t="shared" si="0"/>
        <v>0.36068923293650368</v>
      </c>
      <c r="G30" s="10">
        <f t="shared" si="5"/>
        <v>1.7597893458339696E-2</v>
      </c>
      <c r="I30" s="13">
        <f t="shared" si="1"/>
        <v>243.94813944221144</v>
      </c>
      <c r="J30" s="11">
        <f>(SUM(G31:$G$79)*$I$1)</f>
        <v>163.22335937121593</v>
      </c>
      <c r="K30" s="11">
        <f t="shared" si="6"/>
        <v>-87.989467291698475</v>
      </c>
      <c r="Q30" s="65">
        <v>26</v>
      </c>
      <c r="R30" s="66">
        <f>Inputs!H33</f>
        <v>6.5499999999999998E-4</v>
      </c>
    </row>
    <row r="31" spans="1:18" x14ac:dyDescent="0.25">
      <c r="A31">
        <f t="shared" si="2"/>
        <v>101</v>
      </c>
      <c r="B31">
        <v>27</v>
      </c>
      <c r="C31" s="12">
        <f t="shared" si="3"/>
        <v>0.290016</v>
      </c>
      <c r="D31" s="10">
        <f t="shared" si="4"/>
        <v>0.70998399999999995</v>
      </c>
      <c r="E31" s="198">
        <f>IF(B31&lt;=$C$2,1,IF(B31=$C$2+1,PRODUCT($D$5:D31),E30*D31))</f>
        <v>3.4639855166747807E-2</v>
      </c>
      <c r="F31" s="10">
        <f t="shared" si="0"/>
        <v>0.3468165701312535</v>
      </c>
      <c r="G31" s="10">
        <f t="shared" si="5"/>
        <v>1.2013675758774855E-2</v>
      </c>
      <c r="I31" s="13">
        <f t="shared" si="1"/>
        <v>173.19927583373902</v>
      </c>
      <c r="J31" s="11">
        <f>(SUM(G32:$G$79)*$I$1)</f>
        <v>103.15498057734165</v>
      </c>
      <c r="K31" s="11">
        <f t="shared" si="6"/>
        <v>-60.068378793874288</v>
      </c>
      <c r="Q31" s="65">
        <v>27</v>
      </c>
      <c r="R31" s="66">
        <f>Inputs!H34</f>
        <v>6.8800000000000003E-4</v>
      </c>
    </row>
    <row r="32" spans="1:18" x14ac:dyDescent="0.25">
      <c r="A32">
        <f t="shared" si="2"/>
        <v>102</v>
      </c>
      <c r="B32">
        <v>28</v>
      </c>
      <c r="C32" s="12">
        <f t="shared" si="3"/>
        <v>0.31184899999999999</v>
      </c>
      <c r="D32" s="10">
        <f t="shared" si="4"/>
        <v>0.68815099999999996</v>
      </c>
      <c r="E32" s="198">
        <f>IF(B32&lt;=$C$2,1,IF(B32=$C$2+1,PRODUCT($D$5:D32),E31*D32))</f>
        <v>2.383745097285267E-2</v>
      </c>
      <c r="F32" s="10">
        <f t="shared" si="0"/>
        <v>0.3334774712800514</v>
      </c>
      <c r="G32" s="10">
        <f t="shared" si="5"/>
        <v>7.9492528721891095E-3</v>
      </c>
      <c r="I32" s="13">
        <f t="shared" si="1"/>
        <v>119.18725486426335</v>
      </c>
      <c r="J32" s="11">
        <f>(SUM(G33:$G$79)*$I$1)</f>
        <v>63.408716216396094</v>
      </c>
      <c r="K32" s="11">
        <f t="shared" si="6"/>
        <v>-39.746264360945553</v>
      </c>
      <c r="Q32" s="65">
        <v>28</v>
      </c>
      <c r="R32" s="66">
        <f>Inputs!H35</f>
        <v>7.1000000000000002E-4</v>
      </c>
    </row>
    <row r="33" spans="1:18" x14ac:dyDescent="0.25">
      <c r="A33">
        <f t="shared" si="2"/>
        <v>103</v>
      </c>
      <c r="B33">
        <v>29</v>
      </c>
      <c r="C33" s="12">
        <f t="shared" si="3"/>
        <v>0.33396199999999998</v>
      </c>
      <c r="D33" s="10">
        <f t="shared" si="4"/>
        <v>0.66603800000000002</v>
      </c>
      <c r="E33" s="198">
        <f>IF(B33&lt;=$C$2,1,IF(B33=$C$2+1,PRODUCT($D$5:D33),E32*D33))</f>
        <v>1.5876648171056846E-2</v>
      </c>
      <c r="F33" s="10">
        <f t="shared" si="0"/>
        <v>0.32065141469235708</v>
      </c>
      <c r="G33" s="10">
        <f t="shared" si="5"/>
        <v>5.0908696966222014E-3</v>
      </c>
      <c r="I33" s="13">
        <f t="shared" si="1"/>
        <v>79.383240855284228</v>
      </c>
      <c r="J33" s="11">
        <f>(SUM(G34:$G$79)*$I$1)</f>
        <v>37.954367733285082</v>
      </c>
      <c r="K33" s="11">
        <f t="shared" si="6"/>
        <v>-25.454348483111012</v>
      </c>
      <c r="Q33" s="65">
        <v>29</v>
      </c>
      <c r="R33" s="66">
        <f>Inputs!H36</f>
        <v>7.27E-4</v>
      </c>
    </row>
    <row r="34" spans="1:18" x14ac:dyDescent="0.25">
      <c r="A34">
        <f t="shared" si="2"/>
        <v>104</v>
      </c>
      <c r="B34">
        <v>30</v>
      </c>
      <c r="C34" s="12">
        <f t="shared" si="3"/>
        <v>0.356207</v>
      </c>
      <c r="D34" s="10">
        <f t="shared" si="4"/>
        <v>0.64379300000000006</v>
      </c>
      <c r="E34" s="198">
        <f>IF(B34&lt;=$C$2,1,IF(B34=$C$2+1,PRODUCT($D$5:D34),E33*D34))</f>
        <v>1.0221274955989202E-2</v>
      </c>
      <c r="F34" s="10">
        <f t="shared" si="0"/>
        <v>0.30831866797342034</v>
      </c>
      <c r="G34" s="10">
        <f t="shared" si="5"/>
        <v>3.1514098794206712E-3</v>
      </c>
      <c r="I34" s="13">
        <f t="shared" si="1"/>
        <v>51.106374779946009</v>
      </c>
      <c r="J34" s="11">
        <f>(SUM(G35:$G$79)*$I$1)</f>
        <v>22.197318336181727</v>
      </c>
      <c r="K34" s="11">
        <f t="shared" si="6"/>
        <v>-15.757049397103355</v>
      </c>
      <c r="Q34" s="65">
        <v>30</v>
      </c>
      <c r="R34" s="66">
        <f>Inputs!H37</f>
        <v>7.4100000000000001E-4</v>
      </c>
    </row>
    <row r="35" spans="1:18" x14ac:dyDescent="0.25">
      <c r="A35">
        <f t="shared" si="2"/>
        <v>105</v>
      </c>
      <c r="B35">
        <v>31</v>
      </c>
      <c r="C35" s="12">
        <f t="shared" si="3"/>
        <v>0.38</v>
      </c>
      <c r="D35" s="10">
        <f t="shared" si="4"/>
        <v>0.62</v>
      </c>
      <c r="E35" s="198">
        <f>IF(B35&lt;=$C$2,1,IF(B35=$C$2+1,PRODUCT($D$5:D35),E34*D35))</f>
        <v>6.3371904727133046E-3</v>
      </c>
      <c r="F35" s="10">
        <f t="shared" si="0"/>
        <v>0.29646025766675027</v>
      </c>
      <c r="G35" s="10">
        <f t="shared" si="5"/>
        <v>1.8787251204238613E-3</v>
      </c>
      <c r="I35" s="13">
        <f t="shared" si="1"/>
        <v>31.685952363566525</v>
      </c>
      <c r="J35" s="11">
        <f>(SUM(G36:$G$79)*$I$1)</f>
        <v>12.803692734062423</v>
      </c>
      <c r="K35" s="11">
        <f t="shared" si="6"/>
        <v>-9.3936256021193039</v>
      </c>
      <c r="Q35" s="65">
        <v>31</v>
      </c>
      <c r="R35" s="66">
        <f>Inputs!H38</f>
        <v>7.5100000000000004E-4</v>
      </c>
    </row>
    <row r="36" spans="1:18" x14ac:dyDescent="0.25">
      <c r="A36">
        <f t="shared" si="2"/>
        <v>106</v>
      </c>
      <c r="B36">
        <v>32</v>
      </c>
      <c r="C36" s="12">
        <f t="shared" si="3"/>
        <v>0.4</v>
      </c>
      <c r="D36" s="10">
        <f t="shared" si="4"/>
        <v>0.6</v>
      </c>
      <c r="E36" s="198">
        <f>IF(B36&lt;=$C$2,1,IF(B36=$C$2+1,PRODUCT($D$5:D36),E35*D36))</f>
        <v>3.8023142836279824E-3</v>
      </c>
      <c r="F36" s="10">
        <f t="shared" si="0"/>
        <v>0.28505794006418295</v>
      </c>
      <c r="G36" s="10">
        <f t="shared" si="5"/>
        <v>1.083879877167612E-3</v>
      </c>
      <c r="I36" s="13">
        <f t="shared" si="1"/>
        <v>19.011571418139912</v>
      </c>
      <c r="J36" s="11">
        <f>(SUM(G37:$G$79)*$I$1)</f>
        <v>7.3842933482243582</v>
      </c>
      <c r="K36" s="11">
        <f t="shared" si="6"/>
        <v>-5.4193993858380649</v>
      </c>
      <c r="Q36" s="65">
        <v>32</v>
      </c>
      <c r="R36" s="66">
        <f>Inputs!H39</f>
        <v>7.54E-4</v>
      </c>
    </row>
    <row r="37" spans="1:18" x14ac:dyDescent="0.25">
      <c r="A37">
        <f t="shared" si="2"/>
        <v>107</v>
      </c>
      <c r="B37">
        <v>33</v>
      </c>
      <c r="C37" s="12">
        <f t="shared" si="3"/>
        <v>0.4</v>
      </c>
      <c r="D37" s="10">
        <f t="shared" si="4"/>
        <v>0.6</v>
      </c>
      <c r="E37" s="198">
        <f>IF(B37&lt;=$C$2,1,IF(B37=$C$2+1,PRODUCT($D$5:D37),E36*D37))</f>
        <v>2.2813885701767895E-3</v>
      </c>
      <c r="F37" s="10">
        <f t="shared" si="0"/>
        <v>0.27409417313863743</v>
      </c>
      <c r="G37" s="10">
        <f t="shared" si="5"/>
        <v>6.2531531375054549E-4</v>
      </c>
      <c r="I37" s="13">
        <f t="shared" si="1"/>
        <v>11.406942850883947</v>
      </c>
      <c r="J37" s="11">
        <f>(SUM(G38:$G$79)*$I$1)</f>
        <v>4.2577167794716324</v>
      </c>
      <c r="K37" s="11">
        <f t="shared" si="6"/>
        <v>-3.1265765687527258</v>
      </c>
      <c r="Q37" s="65">
        <v>33</v>
      </c>
      <c r="R37" s="66">
        <f>Inputs!H40</f>
        <v>7.5600000000000005E-4</v>
      </c>
    </row>
    <row r="38" spans="1:18" x14ac:dyDescent="0.25">
      <c r="A38">
        <f t="shared" si="2"/>
        <v>108</v>
      </c>
      <c r="B38">
        <v>34</v>
      </c>
      <c r="C38" s="12">
        <f t="shared" si="3"/>
        <v>0.4</v>
      </c>
      <c r="D38" s="10">
        <f t="shared" si="4"/>
        <v>0.6</v>
      </c>
      <c r="E38" s="198">
        <f>IF(B38&lt;=$C$2,1,IF(B38=$C$2+1,PRODUCT($D$5:D38),E37*D38))</f>
        <v>1.3688331421060737E-3</v>
      </c>
      <c r="F38" s="10">
        <f t="shared" si="0"/>
        <v>0.26355208955638215</v>
      </c>
      <c r="G38" s="10">
        <f t="shared" si="5"/>
        <v>3.6075883485608393E-4</v>
      </c>
      <c r="I38" s="13">
        <f t="shared" si="1"/>
        <v>6.844165710530369</v>
      </c>
      <c r="J38" s="11">
        <f>(SUM(G39:$G$79)*$I$1)</f>
        <v>2.4539226051912131</v>
      </c>
      <c r="K38" s="11">
        <f t="shared" si="6"/>
        <v>-1.8037941742804193</v>
      </c>
      <c r="Q38" s="65">
        <v>34</v>
      </c>
      <c r="R38" s="66">
        <f>Inputs!H41</f>
        <v>7.5600000000000005E-4</v>
      </c>
    </row>
    <row r="39" spans="1:18" x14ac:dyDescent="0.25">
      <c r="A39">
        <f t="shared" si="2"/>
        <v>109</v>
      </c>
      <c r="B39">
        <v>35</v>
      </c>
      <c r="C39" s="12">
        <f t="shared" si="3"/>
        <v>0.4</v>
      </c>
      <c r="D39" s="10">
        <f t="shared" si="4"/>
        <v>0.6</v>
      </c>
      <c r="E39" s="198">
        <f>IF(B39&lt;=$C$2,1,IF(B39=$C$2+1,PRODUCT($D$5:D39),E38*D39))</f>
        <v>8.2129988526364424E-4</v>
      </c>
      <c r="F39" s="10">
        <f t="shared" si="0"/>
        <v>0.25341547072729048</v>
      </c>
      <c r="G39" s="10">
        <f t="shared" si="5"/>
        <v>2.0813009703235606E-4</v>
      </c>
      <c r="I39" s="13">
        <f t="shared" si="1"/>
        <v>4.1064994263182211</v>
      </c>
      <c r="J39" s="11">
        <f>(SUM(G40:$G$79)*$I$1)</f>
        <v>1.4132721200294327</v>
      </c>
      <c r="K39" s="11">
        <f t="shared" si="6"/>
        <v>-1.0406504851617804</v>
      </c>
      <c r="Q39" s="65">
        <v>35</v>
      </c>
      <c r="R39" s="66">
        <f>Inputs!H42</f>
        <v>7.5600000000000005E-4</v>
      </c>
    </row>
    <row r="40" spans="1:18" x14ac:dyDescent="0.25">
      <c r="A40">
        <f t="shared" si="2"/>
        <v>110</v>
      </c>
      <c r="B40">
        <v>36</v>
      </c>
      <c r="C40" s="12">
        <f t="shared" si="3"/>
        <v>0.4</v>
      </c>
      <c r="D40" s="10">
        <f t="shared" si="4"/>
        <v>0.6</v>
      </c>
      <c r="E40" s="198">
        <f>IF(B40&lt;=$C$2,1,IF(B40=$C$2+1,PRODUCT($D$5:D40),E39*D40))</f>
        <v>4.9277993115818652E-4</v>
      </c>
      <c r="F40" s="10">
        <f t="shared" si="0"/>
        <v>0.24366872185316396</v>
      </c>
      <c r="G40" s="10">
        <f t="shared" si="5"/>
        <v>1.2007505598020543E-4</v>
      </c>
      <c r="I40" s="13">
        <f t="shared" si="1"/>
        <v>2.4638996557909327</v>
      </c>
      <c r="J40" s="11">
        <f>(SUM(G41:$G$79)*$I$1)</f>
        <v>0.81289684012840524</v>
      </c>
      <c r="K40" s="11">
        <f t="shared" si="6"/>
        <v>-0.60037527990102746</v>
      </c>
      <c r="Q40" s="65">
        <v>36</v>
      </c>
      <c r="R40" s="66">
        <f>Inputs!H43</f>
        <v>7.5600000000000005E-4</v>
      </c>
    </row>
    <row r="41" spans="1:18" x14ac:dyDescent="0.25">
      <c r="A41">
        <f t="shared" si="2"/>
        <v>111</v>
      </c>
      <c r="B41">
        <v>37</v>
      </c>
      <c r="C41" s="12">
        <f t="shared" si="3"/>
        <v>0.4</v>
      </c>
      <c r="D41" s="10">
        <f t="shared" si="4"/>
        <v>0.6</v>
      </c>
      <c r="E41" s="198">
        <f>IF(B41&lt;=$C$2,1,IF(B41=$C$2+1,PRODUCT($D$5:D41),E40*D41))</f>
        <v>2.9566795869491192E-4</v>
      </c>
      <c r="F41" s="10">
        <f t="shared" si="0"/>
        <v>0.23429684793573452</v>
      </c>
      <c r="G41" s="10">
        <f t="shared" si="5"/>
        <v>6.9274070757810812E-5</v>
      </c>
      <c r="I41" s="13">
        <f t="shared" si="1"/>
        <v>1.4783397934745597</v>
      </c>
      <c r="J41" s="11">
        <f>(SUM(G42:$G$79)*$I$1)</f>
        <v>0.46652648633935118</v>
      </c>
      <c r="K41" s="11">
        <f t="shared" si="6"/>
        <v>-0.34637035378905406</v>
      </c>
      <c r="Q41" s="65">
        <v>37</v>
      </c>
      <c r="R41" s="66">
        <f>Inputs!H44</f>
        <v>7.5600000000000005E-4</v>
      </c>
    </row>
    <row r="42" spans="1:18" x14ac:dyDescent="0.25">
      <c r="A42">
        <f t="shared" si="2"/>
        <v>112</v>
      </c>
      <c r="B42">
        <v>38</v>
      </c>
      <c r="C42" s="12">
        <f t="shared" si="3"/>
        <v>0.4</v>
      </c>
      <c r="D42" s="10">
        <f t="shared" si="4"/>
        <v>0.6</v>
      </c>
      <c r="E42" s="198">
        <f>IF(B42&lt;=$C$2,1,IF(B42=$C$2+1,PRODUCT($D$5:D42),E41*D42))</f>
        <v>1.7740077521694714E-4</v>
      </c>
      <c r="F42" s="10">
        <f t="shared" si="0"/>
        <v>0.22528543070743706</v>
      </c>
      <c r="G42" s="10">
        <f t="shared" si="5"/>
        <v>3.9965810052583165E-5</v>
      </c>
      <c r="I42" s="13">
        <f t="shared" si="1"/>
        <v>0.88700387608473574</v>
      </c>
      <c r="J42" s="11">
        <f>(SUM(G43:$G$79)*$I$1)</f>
        <v>0.26669743607643542</v>
      </c>
      <c r="K42" s="11">
        <f t="shared" si="6"/>
        <v>-0.19982905026291575</v>
      </c>
      <c r="Q42" s="65">
        <v>38</v>
      </c>
      <c r="R42" s="66">
        <f>Inputs!H45</f>
        <v>7.5600000000000005E-4</v>
      </c>
    </row>
    <row r="43" spans="1:18" x14ac:dyDescent="0.25">
      <c r="A43">
        <f t="shared" si="2"/>
        <v>113</v>
      </c>
      <c r="B43">
        <v>39</v>
      </c>
      <c r="C43" s="12">
        <f t="shared" si="3"/>
        <v>0.4</v>
      </c>
      <c r="D43" s="10">
        <f t="shared" si="4"/>
        <v>0.6</v>
      </c>
      <c r="E43" s="198">
        <f>IF(B43&lt;=$C$2,1,IF(B43=$C$2+1,PRODUCT($D$5:D43),E42*D43))</f>
        <v>1.0644046513016829E-4</v>
      </c>
      <c r="F43" s="10">
        <f t="shared" si="0"/>
        <v>0.21662060644945874</v>
      </c>
      <c r="G43" s="10">
        <f t="shared" si="5"/>
        <v>2.3057198107259519E-5</v>
      </c>
      <c r="I43" s="13">
        <f t="shared" si="1"/>
        <v>0.53220232565084147</v>
      </c>
      <c r="J43" s="11">
        <f>(SUM(G44:$G$79)*$I$1)</f>
        <v>0.1514114455401378</v>
      </c>
      <c r="K43" s="11">
        <f t="shared" si="6"/>
        <v>-0.11528599053629762</v>
      </c>
      <c r="Q43" s="65">
        <v>39</v>
      </c>
      <c r="R43" s="66">
        <f>Inputs!H46</f>
        <v>8.0000000000000004E-4</v>
      </c>
    </row>
    <row r="44" spans="1:18" x14ac:dyDescent="0.25">
      <c r="A44">
        <f t="shared" si="2"/>
        <v>114</v>
      </c>
      <c r="B44">
        <v>40</v>
      </c>
      <c r="C44" s="12">
        <f t="shared" si="3"/>
        <v>0.4</v>
      </c>
      <c r="D44" s="10">
        <f t="shared" si="4"/>
        <v>0.6</v>
      </c>
      <c r="E44" s="198">
        <f>IF(B44&lt;=$C$2,1,IF(B44=$C$2+1,PRODUCT($D$5:D44),E43*D44))</f>
        <v>6.3864279078100971E-5</v>
      </c>
      <c r="F44" s="10">
        <f t="shared" si="0"/>
        <v>0.20828904466294101</v>
      </c>
      <c r="G44" s="10">
        <f t="shared" si="5"/>
        <v>1.3302229677265102E-5</v>
      </c>
      <c r="I44" s="13">
        <f t="shared" si="1"/>
        <v>0.31932139539050486</v>
      </c>
      <c r="J44" s="11">
        <f>(SUM(G45:$G$79)*$I$1)</f>
        <v>8.4900297153812296E-2</v>
      </c>
      <c r="K44" s="11">
        <f t="shared" si="6"/>
        <v>-6.6511148386325505E-2</v>
      </c>
      <c r="Q44" s="65">
        <v>40</v>
      </c>
      <c r="R44" s="66">
        <f>Inputs!H47</f>
        <v>8.5899999999999995E-4</v>
      </c>
    </row>
    <row r="45" spans="1:18" x14ac:dyDescent="0.25">
      <c r="A45">
        <f t="shared" si="2"/>
        <v>115</v>
      </c>
      <c r="B45">
        <v>41</v>
      </c>
      <c r="C45" s="12">
        <f t="shared" si="3"/>
        <v>0.4</v>
      </c>
      <c r="D45" s="10">
        <f t="shared" si="4"/>
        <v>0.6</v>
      </c>
      <c r="E45" s="198">
        <f>IF(B45&lt;=$C$2,1,IF(B45=$C$2+1,PRODUCT($D$5:D45),E44*D45))</f>
        <v>3.8318567446860579E-5</v>
      </c>
      <c r="F45" s="10">
        <f t="shared" si="0"/>
        <v>0.20027792756052021</v>
      </c>
      <c r="G45" s="10">
        <f t="shared" si="5"/>
        <v>7.6743632753452502E-6</v>
      </c>
      <c r="I45" s="13">
        <f t="shared" si="1"/>
        <v>0.1915928372343029</v>
      </c>
      <c r="J45" s="11">
        <f>(SUM(G46:$G$79)*$I$1)</f>
        <v>4.6528480777086038E-2</v>
      </c>
      <c r="K45" s="11">
        <f t="shared" si="6"/>
        <v>-3.8371816376726257E-2</v>
      </c>
      <c r="Q45" s="65">
        <v>41</v>
      </c>
      <c r="R45" s="66">
        <f>Inputs!H48</f>
        <v>9.2599999999999996E-4</v>
      </c>
    </row>
    <row r="46" spans="1:18" x14ac:dyDescent="0.25">
      <c r="A46">
        <f t="shared" si="2"/>
        <v>116</v>
      </c>
      <c r="B46">
        <v>42</v>
      </c>
      <c r="C46" s="12">
        <f t="shared" si="3"/>
        <v>0.4</v>
      </c>
      <c r="D46" s="10">
        <f t="shared" si="4"/>
        <v>0.6</v>
      </c>
      <c r="E46" s="198">
        <f>IF(B46&lt;=$C$2,1,IF(B46=$C$2+1,PRODUCT($D$5:D46),E45*D46))</f>
        <v>2.2991140468116347E-5</v>
      </c>
      <c r="F46" s="10">
        <f t="shared" si="0"/>
        <v>0.19257493034665407</v>
      </c>
      <c r="G46" s="10">
        <f t="shared" si="5"/>
        <v>4.4275172742376454E-6</v>
      </c>
      <c r="I46" s="13">
        <f t="shared" si="1"/>
        <v>0.11495570234058174</v>
      </c>
      <c r="J46" s="11">
        <f>(SUM(G47:$G$79)*$I$1)</f>
        <v>2.4390894405897808E-2</v>
      </c>
      <c r="K46" s="11">
        <f t="shared" si="6"/>
        <v>-2.213758637118823E-2</v>
      </c>
      <c r="Q46" s="65">
        <v>42</v>
      </c>
      <c r="R46" s="66">
        <f>Inputs!H49</f>
        <v>9.990000000000001E-4</v>
      </c>
    </row>
    <row r="47" spans="1:18" x14ac:dyDescent="0.25">
      <c r="A47">
        <f t="shared" si="2"/>
        <v>117</v>
      </c>
      <c r="B47">
        <v>43</v>
      </c>
      <c r="C47" s="12">
        <f t="shared" si="3"/>
        <v>0.4</v>
      </c>
      <c r="D47" s="10">
        <f t="shared" si="4"/>
        <v>0.6</v>
      </c>
      <c r="E47" s="198">
        <f>IF(B47&lt;=$C$2,1,IF(B47=$C$2+1,PRODUCT($D$5:D47),E46*D47))</f>
        <v>1.3794684280869808E-5</v>
      </c>
      <c r="F47" s="10">
        <f t="shared" si="0"/>
        <v>0.18516820225639813</v>
      </c>
      <c r="G47" s="10">
        <f t="shared" si="5"/>
        <v>2.5543368889832564E-6</v>
      </c>
      <c r="I47" s="13">
        <f t="shared" si="1"/>
        <v>6.8973421404349033E-2</v>
      </c>
      <c r="J47" s="11">
        <f>(SUM(G48:$G$79)*$I$1)</f>
        <v>1.1619209960981527E-2</v>
      </c>
      <c r="K47" s="11">
        <f t="shared" si="6"/>
        <v>-1.2771684444916281E-2</v>
      </c>
      <c r="Q47" s="65">
        <v>43</v>
      </c>
      <c r="R47" s="66">
        <f>Inputs!H50</f>
        <v>1.0690000000000001E-3</v>
      </c>
    </row>
    <row r="48" spans="1:18" x14ac:dyDescent="0.25">
      <c r="A48">
        <f t="shared" si="2"/>
        <v>118</v>
      </c>
      <c r="B48">
        <v>44</v>
      </c>
      <c r="C48" s="12">
        <f t="shared" si="3"/>
        <v>0.4</v>
      </c>
      <c r="D48" s="10">
        <f t="shared" si="4"/>
        <v>0.6</v>
      </c>
      <c r="E48" s="198">
        <f>IF(B48&lt;=$C$2,1,IF(B48=$C$2+1,PRODUCT($D$5:D48),E47*D48))</f>
        <v>8.2768105685218844E-6</v>
      </c>
      <c r="F48" s="10">
        <f t="shared" si="0"/>
        <v>0.17804634832345972</v>
      </c>
      <c r="G48" s="10">
        <f t="shared" si="5"/>
        <v>1.4736558974903401E-6</v>
      </c>
      <c r="I48" s="13">
        <f t="shared" si="1"/>
        <v>4.1384052842609424E-2</v>
      </c>
      <c r="J48" s="11">
        <f>(SUM(G49:$G$79)*$I$1)</f>
        <v>4.2509304735298264E-3</v>
      </c>
      <c r="K48" s="11">
        <f t="shared" si="6"/>
        <v>-7.3682794874517007E-3</v>
      </c>
      <c r="Q48" s="65">
        <v>44</v>
      </c>
      <c r="R48" s="66">
        <f>Inputs!H51</f>
        <v>1.142E-3</v>
      </c>
    </row>
    <row r="49" spans="1:18" x14ac:dyDescent="0.25">
      <c r="A49">
        <f t="shared" si="2"/>
        <v>119</v>
      </c>
      <c r="B49">
        <v>45</v>
      </c>
      <c r="C49" s="12">
        <f t="shared" si="3"/>
        <v>0.4</v>
      </c>
      <c r="D49" s="10">
        <f t="shared" si="4"/>
        <v>0.6</v>
      </c>
      <c r="E49" s="198">
        <f>IF(B49&lt;=$C$2,1,IF(B49=$C$2+1,PRODUCT($D$5:D49),E48*D49))</f>
        <v>4.9660863411131307E-6</v>
      </c>
      <c r="F49" s="10">
        <f t="shared" si="0"/>
        <v>0.17119841184948048</v>
      </c>
      <c r="G49" s="10">
        <f t="shared" si="5"/>
        <v>8.5018609470596531E-7</v>
      </c>
      <c r="I49" s="13">
        <f t="shared" si="1"/>
        <v>2.4830431705565655E-2</v>
      </c>
      <c r="J49" s="11">
        <f>(SUM(G50:$G$79)*$I$1)</f>
        <v>0</v>
      </c>
      <c r="K49" s="11">
        <f t="shared" si="6"/>
        <v>-4.2509304735298264E-3</v>
      </c>
      <c r="Q49" s="65">
        <v>45</v>
      </c>
      <c r="R49" s="66">
        <f>Inputs!H52</f>
        <v>1.219E-3</v>
      </c>
    </row>
    <row r="50" spans="1:18" x14ac:dyDescent="0.25">
      <c r="A50">
        <f t="shared" si="2"/>
        <v>120</v>
      </c>
      <c r="B50">
        <v>46</v>
      </c>
      <c r="C50" s="12">
        <f t="shared" si="3"/>
        <v>1</v>
      </c>
      <c r="D50" s="10">
        <f t="shared" si="4"/>
        <v>0</v>
      </c>
      <c r="E50" s="198">
        <f>IF(B50&lt;=$C$2,1,IF(B50=$C$2+1,PRODUCT($D$5:D50),E49*D50))</f>
        <v>0</v>
      </c>
      <c r="F50" s="10">
        <f t="shared" si="0"/>
        <v>0</v>
      </c>
      <c r="G50" s="10">
        <f t="shared" si="5"/>
        <v>0</v>
      </c>
      <c r="I50" s="13">
        <f t="shared" si="1"/>
        <v>0</v>
      </c>
      <c r="J50" s="11">
        <f>(SUM(G51:$G$79)*$I$1)</f>
        <v>0</v>
      </c>
      <c r="K50" s="11">
        <f t="shared" si="6"/>
        <v>0</v>
      </c>
      <c r="Q50" s="65">
        <v>46</v>
      </c>
      <c r="R50" s="66">
        <f>Inputs!H53</f>
        <v>1.3179999999999999E-3</v>
      </c>
    </row>
    <row r="51" spans="1:18" x14ac:dyDescent="0.25">
      <c r="C51" s="12"/>
      <c r="D51" s="10"/>
      <c r="E51" s="198"/>
      <c r="F51" s="10"/>
      <c r="G51" s="10"/>
      <c r="I51" s="13"/>
      <c r="J51" s="11"/>
      <c r="K51" s="11"/>
      <c r="Q51" s="65">
        <v>47</v>
      </c>
      <c r="R51" s="66">
        <f>Inputs!H54</f>
        <v>1.454E-3</v>
      </c>
    </row>
    <row r="52" spans="1:18" x14ac:dyDescent="0.25">
      <c r="C52" s="12"/>
      <c r="D52" s="10"/>
      <c r="E52" s="198"/>
      <c r="F52" s="10"/>
      <c r="G52" s="10"/>
      <c r="I52" s="13"/>
      <c r="J52" s="11"/>
      <c r="K52" s="11"/>
      <c r="Q52" s="65">
        <v>48</v>
      </c>
      <c r="R52" s="66">
        <f>Inputs!H55</f>
        <v>1.627E-3</v>
      </c>
    </row>
    <row r="53" spans="1:18" x14ac:dyDescent="0.25">
      <c r="C53" s="12"/>
      <c r="D53" s="10"/>
      <c r="E53" s="198"/>
      <c r="F53" s="10"/>
      <c r="G53" s="10"/>
      <c r="I53" s="13"/>
      <c r="J53" s="11"/>
      <c r="K53" s="11"/>
      <c r="Q53" s="65">
        <v>49</v>
      </c>
      <c r="R53" s="66">
        <f>Inputs!H56</f>
        <v>1.8289999999999999E-3</v>
      </c>
    </row>
    <row r="54" spans="1:18" x14ac:dyDescent="0.25">
      <c r="C54" s="12"/>
      <c r="D54" s="10"/>
      <c r="E54" s="198"/>
      <c r="F54" s="10"/>
      <c r="G54" s="10"/>
      <c r="I54" s="13"/>
      <c r="J54" s="11"/>
      <c r="K54" s="11"/>
      <c r="Q54" s="65">
        <v>50</v>
      </c>
      <c r="R54" s="66">
        <f>Inputs!H57</f>
        <v>2.0569999999999998E-3</v>
      </c>
    </row>
    <row r="55" spans="1:18" x14ac:dyDescent="0.25">
      <c r="C55" s="12"/>
      <c r="D55" s="10"/>
      <c r="E55" s="198"/>
      <c r="F55" s="10"/>
      <c r="G55" s="10"/>
      <c r="I55" s="13"/>
      <c r="J55" s="11"/>
      <c r="K55" s="11"/>
      <c r="Q55" s="65">
        <v>51</v>
      </c>
      <c r="R55" s="66">
        <f>Inputs!H58</f>
        <v>2.3019999999999998E-3</v>
      </c>
    </row>
    <row r="56" spans="1:18" x14ac:dyDescent="0.25">
      <c r="C56" s="12"/>
      <c r="D56" s="10"/>
      <c r="E56" s="10"/>
      <c r="F56" s="10"/>
      <c r="G56" s="10"/>
      <c r="I56" s="13"/>
      <c r="J56" s="11"/>
      <c r="K56" s="11"/>
      <c r="Q56" s="65">
        <v>52</v>
      </c>
      <c r="R56" s="66">
        <f>Inputs!H59</f>
        <v>2.545E-3</v>
      </c>
    </row>
    <row r="57" spans="1:18" x14ac:dyDescent="0.25">
      <c r="C57" s="12"/>
      <c r="D57" s="10"/>
      <c r="E57" s="10"/>
      <c r="F57" s="10"/>
      <c r="G57" s="10"/>
      <c r="I57" s="13"/>
      <c r="J57" s="11"/>
      <c r="K57" s="11"/>
      <c r="Q57" s="65">
        <v>53</v>
      </c>
      <c r="R57" s="66">
        <f>Inputs!H60</f>
        <v>2.7789999999999998E-3</v>
      </c>
    </row>
    <row r="58" spans="1:18" x14ac:dyDescent="0.25">
      <c r="C58" s="12"/>
      <c r="D58" s="10"/>
      <c r="E58" s="10"/>
      <c r="F58" s="10"/>
      <c r="G58" s="10"/>
      <c r="I58" s="13"/>
      <c r="J58" s="11"/>
      <c r="K58" s="11"/>
      <c r="Q58" s="65">
        <v>54</v>
      </c>
      <c r="R58" s="66">
        <f>Inputs!H61</f>
        <v>3.0109999999999998E-3</v>
      </c>
    </row>
    <row r="59" spans="1:18" x14ac:dyDescent="0.25">
      <c r="C59" s="12"/>
      <c r="D59" s="10"/>
      <c r="E59" s="10"/>
      <c r="F59" s="10"/>
      <c r="G59" s="10"/>
      <c r="I59" s="13"/>
      <c r="J59" s="11"/>
      <c r="K59" s="11"/>
      <c r="Q59" s="65">
        <v>55</v>
      </c>
      <c r="R59" s="66">
        <f>Inputs!H62</f>
        <v>3.2539999999999999E-3</v>
      </c>
    </row>
    <row r="60" spans="1:18" x14ac:dyDescent="0.25">
      <c r="C60" s="12"/>
      <c r="D60" s="10"/>
      <c r="E60" s="10"/>
      <c r="F60" s="10"/>
      <c r="G60" s="10"/>
      <c r="I60" s="13"/>
      <c r="J60" s="11"/>
      <c r="K60" s="11"/>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55">
    <cfRule type="cellIs" dxfId="24"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5" workbookViewId="0">
      <selection activeCell="D127" sqref="D127:F134"/>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142</v>
      </c>
      <c r="I1" s="3">
        <v>5000</v>
      </c>
      <c r="J1" s="181" t="s">
        <v>173</v>
      </c>
      <c r="L1" s="1"/>
      <c r="M1" s="4"/>
      <c r="N1" s="4"/>
      <c r="O1" s="4"/>
      <c r="P1" s="4"/>
      <c r="Q1" s="64"/>
      <c r="R1" s="28"/>
    </row>
    <row r="2" spans="1:18" ht="15.75" customHeight="1" thickBot="1" x14ac:dyDescent="0.3">
      <c r="B2" t="s">
        <v>227</v>
      </c>
      <c r="C2">
        <v>10</v>
      </c>
      <c r="F2" s="5">
        <f>'Asset and Liability Durations'!N18</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7.7926584854110246</v>
      </c>
      <c r="N3" s="10"/>
      <c r="O3" s="10"/>
      <c r="P3" s="10"/>
      <c r="Q3" s="31"/>
      <c r="R3" s="32"/>
    </row>
    <row r="4" spans="1:18" x14ac:dyDescent="0.25">
      <c r="A4">
        <v>74</v>
      </c>
      <c r="B4">
        <v>0</v>
      </c>
      <c r="C4" s="8"/>
      <c r="D4" s="7"/>
      <c r="E4" s="7"/>
      <c r="F4" s="7"/>
      <c r="G4" s="10">
        <v>1</v>
      </c>
      <c r="J4" s="11">
        <f>(SUM(G5:$G$79)*$I$1)</f>
        <v>54784.502692407768</v>
      </c>
      <c r="Q4" s="65">
        <v>0</v>
      </c>
      <c r="R4" s="66">
        <f>Inputs!H7</f>
        <v>1.6050000000000001E-3</v>
      </c>
    </row>
    <row r="5" spans="1:18" ht="15.75" thickBot="1" x14ac:dyDescent="0.3">
      <c r="A5">
        <f>B5+$A$4</f>
        <v>75</v>
      </c>
      <c r="B5">
        <v>1</v>
      </c>
      <c r="C5" s="12">
        <f>VLOOKUP(A5,$Q$4:$R$124,2,FALSE)</f>
        <v>1.8814999999999998E-2</v>
      </c>
      <c r="D5" s="10">
        <f>1-C5</f>
        <v>0.98118499999999997</v>
      </c>
      <c r="E5" s="198">
        <f>IF(B5&lt;=$C$2,1,IF(B5=$C$2+1,PRODUCT($D$5:D5),E4*D5))</f>
        <v>1</v>
      </c>
      <c r="F5" s="10">
        <f t="shared" ref="F5:F50" si="0">IF(D5=0,0,(1+$F$2)^-B5)</f>
        <v>0.96153846153846145</v>
      </c>
      <c r="G5" s="10">
        <f>F5*E5</f>
        <v>0.96153846153846145</v>
      </c>
      <c r="I5" s="13">
        <f t="shared" ref="I5:I50" si="1">E5*$I$1</f>
        <v>5000</v>
      </c>
      <c r="J5" s="11">
        <f>(SUM(G6:$G$79)*$I$1)</f>
        <v>49976.810384715449</v>
      </c>
      <c r="K5" s="11">
        <f>J5-J4</f>
        <v>-4807.6923076923194</v>
      </c>
      <c r="L5" s="14" t="s">
        <v>16</v>
      </c>
      <c r="M5" s="14" t="s">
        <v>17</v>
      </c>
      <c r="N5" s="14" t="s">
        <v>18</v>
      </c>
      <c r="O5" s="14" t="s">
        <v>47</v>
      </c>
      <c r="Q5" s="65">
        <v>1</v>
      </c>
      <c r="R5" s="66">
        <f>Inputs!H8</f>
        <v>4.0099999999999999E-4</v>
      </c>
    </row>
    <row r="6" spans="1:18" x14ac:dyDescent="0.25">
      <c r="A6">
        <f t="shared" ref="A6:A50" si="2">B6+$A$4</f>
        <v>76</v>
      </c>
      <c r="B6">
        <v>2</v>
      </c>
      <c r="C6" s="12">
        <f t="shared" ref="C6:C50" si="3">VLOOKUP(A6,$Q$4:$R$124,2,FALSE)</f>
        <v>2.1031000000000001E-2</v>
      </c>
      <c r="D6" s="10">
        <f t="shared" ref="D6:D50" si="4">1-C6</f>
        <v>0.97896899999999998</v>
      </c>
      <c r="E6" s="198">
        <f>IF(B6&lt;=$C$2,1,IF(B6=$C$2+1,PRODUCT($D$5:D6),E5*D6))</f>
        <v>1</v>
      </c>
      <c r="F6" s="10">
        <f t="shared" si="0"/>
        <v>0.92455621301775137</v>
      </c>
      <c r="G6" s="10">
        <f t="shared" ref="G6:G50" si="5">F6*E6</f>
        <v>0.92455621301775137</v>
      </c>
      <c r="I6" s="13">
        <f t="shared" si="1"/>
        <v>5000</v>
      </c>
      <c r="J6" s="11">
        <f>(SUM(G7:$G$79)*$I$1)</f>
        <v>45354.029319626694</v>
      </c>
      <c r="K6" s="11">
        <f t="shared" ref="K6:K50" si="6">J6-J5</f>
        <v>-4622.781065088755</v>
      </c>
      <c r="L6" s="14">
        <v>2</v>
      </c>
      <c r="M6" s="54" t="s">
        <v>44</v>
      </c>
      <c r="N6" s="15">
        <f>SUM(I5:I7)</f>
        <v>15000</v>
      </c>
      <c r="O6" s="16">
        <f>N6/SUM($N$6:$N$9)</f>
        <v>0.19688706237645615</v>
      </c>
      <c r="Q6" s="65">
        <v>2</v>
      </c>
      <c r="R6" s="66">
        <f>Inputs!H9</f>
        <v>2.7500000000000002E-4</v>
      </c>
    </row>
    <row r="7" spans="1:18" x14ac:dyDescent="0.25">
      <c r="A7">
        <f t="shared" si="2"/>
        <v>77</v>
      </c>
      <c r="B7">
        <v>3</v>
      </c>
      <c r="C7" s="12">
        <f t="shared" si="3"/>
        <v>2.3539999999999998E-2</v>
      </c>
      <c r="D7" s="10">
        <f t="shared" si="4"/>
        <v>0.97645999999999999</v>
      </c>
      <c r="E7" s="198">
        <f>IF(B7&lt;=$C$2,1,IF(B7=$C$2+1,PRODUCT($D$5:D7),E6*D7))</f>
        <v>1</v>
      </c>
      <c r="F7" s="10">
        <f t="shared" si="0"/>
        <v>0.88899635867091487</v>
      </c>
      <c r="G7" s="10">
        <f t="shared" si="5"/>
        <v>0.88899635867091487</v>
      </c>
      <c r="I7" s="13">
        <f t="shared" si="1"/>
        <v>5000</v>
      </c>
      <c r="J7" s="11">
        <f>(SUM(G8:$G$79)*$I$1)</f>
        <v>40909.047526272101</v>
      </c>
      <c r="K7" s="11">
        <f t="shared" si="6"/>
        <v>-4444.9817933545928</v>
      </c>
      <c r="L7" s="14">
        <v>5</v>
      </c>
      <c r="M7" s="19" t="s">
        <v>45</v>
      </c>
      <c r="N7" s="17">
        <f>SUM(I8:I11)</f>
        <v>20000</v>
      </c>
      <c r="O7" s="18">
        <f>N7/SUM($N$6:$N$9)</f>
        <v>0.26251608316860819</v>
      </c>
      <c r="Q7" s="65">
        <v>3</v>
      </c>
      <c r="R7" s="66">
        <f>Inputs!H10</f>
        <v>2.2900000000000001E-4</v>
      </c>
    </row>
    <row r="8" spans="1:18" x14ac:dyDescent="0.25">
      <c r="A8">
        <f t="shared" si="2"/>
        <v>78</v>
      </c>
      <c r="B8">
        <v>4</v>
      </c>
      <c r="C8" s="12">
        <f t="shared" si="3"/>
        <v>2.6374999999999999E-2</v>
      </c>
      <c r="D8" s="10">
        <f t="shared" si="4"/>
        <v>0.97362499999999996</v>
      </c>
      <c r="E8" s="198">
        <f>IF(B8&lt;=$C$2,1,IF(B8=$C$2+1,PRODUCT($D$5:D8),E7*D8))</f>
        <v>1</v>
      </c>
      <c r="F8" s="10">
        <f t="shared" si="0"/>
        <v>0.85480419102972571</v>
      </c>
      <c r="G8" s="10">
        <f>F8*E8</f>
        <v>0.85480419102972571</v>
      </c>
      <c r="I8" s="13">
        <f t="shared" si="1"/>
        <v>5000</v>
      </c>
      <c r="J8" s="11">
        <f>(SUM(G9:$G$79)*$I$1)</f>
        <v>36635.026571123482</v>
      </c>
      <c r="K8" s="11">
        <f t="shared" si="6"/>
        <v>-4274.0209551486187</v>
      </c>
      <c r="L8" s="14">
        <v>10</v>
      </c>
      <c r="M8" s="19" t="s">
        <v>46</v>
      </c>
      <c r="N8" s="17">
        <f>SUM(I12:I19)</f>
        <v>29365.356813231905</v>
      </c>
      <c r="O8" s="18">
        <f>N8/SUM($N$6:$N$9)</f>
        <v>0.38544392257291216</v>
      </c>
      <c r="Q8" s="65">
        <v>4</v>
      </c>
      <c r="R8" s="66">
        <f>Inputs!H11</f>
        <v>1.74E-4</v>
      </c>
    </row>
    <row r="9" spans="1:18" ht="15.75" thickBot="1" x14ac:dyDescent="0.3">
      <c r="A9">
        <f t="shared" si="2"/>
        <v>79</v>
      </c>
      <c r="B9">
        <v>5</v>
      </c>
      <c r="C9" s="12">
        <f t="shared" si="3"/>
        <v>2.9572000000000001E-2</v>
      </c>
      <c r="D9" s="10">
        <f t="shared" si="4"/>
        <v>0.97042799999999996</v>
      </c>
      <c r="E9" s="198">
        <f>IF(B9&lt;=$C$2,1,IF(B9=$C$2+1,PRODUCT($D$5:D9),E8*D9))</f>
        <v>1</v>
      </c>
      <c r="F9" s="10">
        <f t="shared" si="0"/>
        <v>0.82192710675935154</v>
      </c>
      <c r="G9" s="10">
        <f t="shared" si="5"/>
        <v>0.82192710675935154</v>
      </c>
      <c r="I9" s="13">
        <f t="shared" si="1"/>
        <v>5000</v>
      </c>
      <c r="J9" s="11">
        <f>(SUM(G10:$G$79)*$I$1)</f>
        <v>32525.391037326717</v>
      </c>
      <c r="K9" s="11">
        <f t="shared" si="6"/>
        <v>-4109.6355337967652</v>
      </c>
      <c r="L9" s="14">
        <v>30</v>
      </c>
      <c r="M9" s="20" t="s">
        <v>48</v>
      </c>
      <c r="N9" s="21">
        <f>SUM(I20:I70)</f>
        <v>11820.451532668358</v>
      </c>
      <c r="O9" s="22">
        <f>N9/SUM($N$6:$N$9)</f>
        <v>0.15515293188202345</v>
      </c>
      <c r="Q9" s="65">
        <v>5</v>
      </c>
      <c r="R9" s="66">
        <f>Inputs!H12</f>
        <v>1.6799999999999999E-4</v>
      </c>
    </row>
    <row r="10" spans="1:18" x14ac:dyDescent="0.25">
      <c r="A10">
        <f t="shared" si="2"/>
        <v>80</v>
      </c>
      <c r="B10">
        <v>6</v>
      </c>
      <c r="C10" s="12">
        <f t="shared" si="3"/>
        <v>3.3234E-2</v>
      </c>
      <c r="D10" s="10">
        <f t="shared" si="4"/>
        <v>0.96676600000000001</v>
      </c>
      <c r="E10" s="198">
        <f>IF(B10&lt;=$C$2,1,IF(B10=$C$2+1,PRODUCT($D$5:D10),E9*D10))</f>
        <v>1</v>
      </c>
      <c r="F10" s="10">
        <f t="shared" si="0"/>
        <v>0.79031452573014571</v>
      </c>
      <c r="G10" s="10">
        <f t="shared" si="5"/>
        <v>0.79031452573014571</v>
      </c>
      <c r="I10" s="13">
        <f t="shared" si="1"/>
        <v>5000</v>
      </c>
      <c r="J10" s="11">
        <f>(SUM(G11:$G$79)*$I$1)</f>
        <v>28573.818408675994</v>
      </c>
      <c r="K10" s="11">
        <f t="shared" si="6"/>
        <v>-3951.5726286507233</v>
      </c>
      <c r="L10" s="53">
        <f>+SUMPRODUCT(L6:L9,O6:O9)</f>
        <v>10.215381722785779</v>
      </c>
      <c r="O10" s="23">
        <f>SUM(O6:O9)</f>
        <v>1</v>
      </c>
      <c r="Q10" s="65">
        <v>6</v>
      </c>
      <c r="R10" s="66">
        <f>Inputs!H13</f>
        <v>1.65E-4</v>
      </c>
    </row>
    <row r="11" spans="1:18" x14ac:dyDescent="0.25">
      <c r="A11">
        <f t="shared" si="2"/>
        <v>81</v>
      </c>
      <c r="B11">
        <v>7</v>
      </c>
      <c r="C11" s="12">
        <f t="shared" si="3"/>
        <v>3.7532999999999997E-2</v>
      </c>
      <c r="D11" s="10">
        <f t="shared" si="4"/>
        <v>0.96246699999999996</v>
      </c>
      <c r="E11" s="198">
        <f>IF(B11&lt;=$C$2,1,IF(B11=$C$2+1,PRODUCT($D$5:D11),E10*D11))</f>
        <v>1</v>
      </c>
      <c r="F11" s="10">
        <f t="shared" si="0"/>
        <v>0.75991781320206331</v>
      </c>
      <c r="G11" s="10">
        <f t="shared" si="5"/>
        <v>0.75991781320206331</v>
      </c>
      <c r="I11" s="13">
        <f t="shared" si="1"/>
        <v>5000</v>
      </c>
      <c r="J11" s="11">
        <f>(SUM(G12:$G$79)*$I$1)</f>
        <v>24774.229342665669</v>
      </c>
      <c r="K11" s="11">
        <f t="shared" si="6"/>
        <v>-3799.589066010325</v>
      </c>
      <c r="Q11" s="65">
        <v>7</v>
      </c>
      <c r="R11" s="66">
        <f>Inputs!H14</f>
        <v>1.5899999999999999E-4</v>
      </c>
    </row>
    <row r="12" spans="1:18" x14ac:dyDescent="0.25">
      <c r="A12">
        <f t="shared" si="2"/>
        <v>82</v>
      </c>
      <c r="B12">
        <v>8</v>
      </c>
      <c r="C12" s="12">
        <f t="shared" si="3"/>
        <v>4.2261E-2</v>
      </c>
      <c r="D12" s="10">
        <f t="shared" si="4"/>
        <v>0.95773900000000001</v>
      </c>
      <c r="E12" s="198">
        <f>IF(B12&lt;=$C$2,1,IF(B12=$C$2+1,PRODUCT($D$5:D12),E11*D12))</f>
        <v>1</v>
      </c>
      <c r="F12" s="10">
        <f t="shared" si="0"/>
        <v>0.73069020500198378</v>
      </c>
      <c r="G12" s="10">
        <f t="shared" si="5"/>
        <v>0.73069020500198378</v>
      </c>
      <c r="I12" s="13">
        <f t="shared" si="1"/>
        <v>5000</v>
      </c>
      <c r="J12" s="11">
        <f>(SUM(G13:$G$79)*$I$1)</f>
        <v>21120.77831765575</v>
      </c>
      <c r="K12" s="11">
        <f t="shared" si="6"/>
        <v>-3653.4510250099192</v>
      </c>
      <c r="Q12" s="65">
        <v>8</v>
      </c>
      <c r="R12" s="66">
        <f>Inputs!H15</f>
        <v>1.4300000000000001E-4</v>
      </c>
    </row>
    <row r="13" spans="1:18" x14ac:dyDescent="0.25">
      <c r="A13">
        <f t="shared" si="2"/>
        <v>83</v>
      </c>
      <c r="B13">
        <v>9</v>
      </c>
      <c r="C13" s="12">
        <f t="shared" si="3"/>
        <v>4.7440999999999997E-2</v>
      </c>
      <c r="D13" s="10">
        <f t="shared" si="4"/>
        <v>0.95255900000000004</v>
      </c>
      <c r="E13" s="198">
        <f>IF(B13&lt;=$C$2,1,IF(B13=$C$2+1,PRODUCT($D$5:D13),E12*D13))</f>
        <v>1</v>
      </c>
      <c r="F13" s="10">
        <f t="shared" si="0"/>
        <v>0.70258673557883045</v>
      </c>
      <c r="G13" s="10">
        <f t="shared" si="5"/>
        <v>0.70258673557883045</v>
      </c>
      <c r="I13" s="13">
        <f t="shared" si="1"/>
        <v>5000</v>
      </c>
      <c r="J13" s="11">
        <f>(SUM(G14:$G$79)*$I$1)</f>
        <v>17607.844639761595</v>
      </c>
      <c r="K13" s="11">
        <f t="shared" si="6"/>
        <v>-3512.9336778941542</v>
      </c>
      <c r="Q13" s="65">
        <v>9</v>
      </c>
      <c r="R13" s="66">
        <f>Inputs!H16</f>
        <v>1.2899999999999999E-4</v>
      </c>
    </row>
    <row r="14" spans="1:18" x14ac:dyDescent="0.25">
      <c r="A14">
        <f t="shared" si="2"/>
        <v>84</v>
      </c>
      <c r="B14">
        <v>10</v>
      </c>
      <c r="C14" s="12">
        <f t="shared" si="3"/>
        <v>5.3233000000000003E-2</v>
      </c>
      <c r="D14" s="10">
        <f t="shared" si="4"/>
        <v>0.94676700000000003</v>
      </c>
      <c r="E14" s="198">
        <f>IF(B14&lt;=$C$2,1,IF(B14=$C$2+1,PRODUCT($D$5:D14),E13*D14))</f>
        <v>1</v>
      </c>
      <c r="F14" s="10">
        <f t="shared" si="0"/>
        <v>0.67556416882579851</v>
      </c>
      <c r="G14" s="10">
        <f t="shared" si="5"/>
        <v>0.67556416882579851</v>
      </c>
      <c r="I14" s="13">
        <f t="shared" si="1"/>
        <v>5000</v>
      </c>
      <c r="J14" s="11">
        <f>(SUM(G15:$G$79)*$I$1)</f>
        <v>14230.0237956326</v>
      </c>
      <c r="K14" s="11">
        <f t="shared" si="6"/>
        <v>-3377.8208441289953</v>
      </c>
      <c r="Q14" s="65">
        <v>10</v>
      </c>
      <c r="R14" s="66">
        <f>Inputs!H17</f>
        <v>1.13E-4</v>
      </c>
    </row>
    <row r="15" spans="1:18" x14ac:dyDescent="0.25">
      <c r="A15">
        <f t="shared" si="2"/>
        <v>85</v>
      </c>
      <c r="B15">
        <v>11</v>
      </c>
      <c r="C15" s="12">
        <f t="shared" si="3"/>
        <v>5.9854999999999998E-2</v>
      </c>
      <c r="D15" s="10">
        <f t="shared" si="4"/>
        <v>0.94014500000000001</v>
      </c>
      <c r="E15" s="198">
        <f>IF(B15&lt;=$C$2,1,IF(B15=$C$2+1,PRODUCT($D$5:D15),E14*D15))</f>
        <v>0.66959709254093958</v>
      </c>
      <c r="F15" s="10">
        <f t="shared" si="0"/>
        <v>0.6495809315632679</v>
      </c>
      <c r="G15" s="10">
        <f t="shared" si="5"/>
        <v>0.43495750314479925</v>
      </c>
      <c r="I15" s="13">
        <f t="shared" si="1"/>
        <v>3347.985462704698</v>
      </c>
      <c r="J15" s="11">
        <f>(SUM(G16:$G$79)*$I$1)</f>
        <v>12055.236279908608</v>
      </c>
      <c r="K15" s="11">
        <f t="shared" si="6"/>
        <v>-2174.7875157239923</v>
      </c>
      <c r="Q15" s="65">
        <v>11</v>
      </c>
      <c r="R15" s="66">
        <f>Inputs!H18</f>
        <v>1.11E-4</v>
      </c>
    </row>
    <row r="16" spans="1:18" x14ac:dyDescent="0.25">
      <c r="A16">
        <f t="shared" si="2"/>
        <v>86</v>
      </c>
      <c r="B16">
        <v>12</v>
      </c>
      <c r="C16" s="12">
        <f t="shared" si="3"/>
        <v>6.7514000000000005E-2</v>
      </c>
      <c r="D16" s="10">
        <f t="shared" si="4"/>
        <v>0.93248600000000004</v>
      </c>
      <c r="E16" s="198">
        <f>IF(B16&lt;=$C$2,1,IF(B16=$C$2+1,PRODUCT($D$5:D16),E15*D16))</f>
        <v>0.62438991443513059</v>
      </c>
      <c r="F16" s="10">
        <f t="shared" si="0"/>
        <v>0.62459704958006512</v>
      </c>
      <c r="G16" s="10">
        <f t="shared" si="5"/>
        <v>0.38999209834373189</v>
      </c>
      <c r="I16" s="13">
        <f t="shared" si="1"/>
        <v>3121.949572175653</v>
      </c>
      <c r="J16" s="11">
        <f>(SUM(G17:$G$79)*$I$1)</f>
        <v>10105.275788189951</v>
      </c>
      <c r="K16" s="11">
        <f t="shared" si="6"/>
        <v>-1949.9604917186571</v>
      </c>
      <c r="Q16" s="65">
        <v>12</v>
      </c>
      <c r="R16" s="66">
        <f>Inputs!H19</f>
        <v>1.3200000000000001E-4</v>
      </c>
    </row>
    <row r="17" spans="1:18" x14ac:dyDescent="0.25">
      <c r="A17">
        <f t="shared" si="2"/>
        <v>87</v>
      </c>
      <c r="B17">
        <v>13</v>
      </c>
      <c r="C17" s="12">
        <f t="shared" si="3"/>
        <v>7.6340000000000005E-2</v>
      </c>
      <c r="D17" s="10">
        <f t="shared" si="4"/>
        <v>0.92366000000000004</v>
      </c>
      <c r="E17" s="198">
        <f>IF(B17&lt;=$C$2,1,IF(B17=$C$2+1,PRODUCT($D$5:D17),E16*D17))</f>
        <v>0.57672398836715277</v>
      </c>
      <c r="F17" s="10">
        <f t="shared" si="0"/>
        <v>0.600574086134678</v>
      </c>
      <c r="G17" s="10">
        <f t="shared" si="5"/>
        <v>0.34636548226554942</v>
      </c>
      <c r="I17" s="13">
        <f t="shared" si="1"/>
        <v>2883.6199418357637</v>
      </c>
      <c r="J17" s="11">
        <f>(SUM(G18:$G$79)*$I$1)</f>
        <v>8373.4483768622013</v>
      </c>
      <c r="K17" s="11">
        <f t="shared" si="6"/>
        <v>-1731.8274113277494</v>
      </c>
      <c r="Q17" s="65">
        <v>13</v>
      </c>
      <c r="R17" s="66">
        <f>Inputs!H20</f>
        <v>1.6899999999999999E-4</v>
      </c>
    </row>
    <row r="18" spans="1:18" x14ac:dyDescent="0.25">
      <c r="A18">
        <f t="shared" si="2"/>
        <v>88</v>
      </c>
      <c r="B18">
        <v>14</v>
      </c>
      <c r="C18" s="12">
        <f t="shared" si="3"/>
        <v>8.6388000000000006E-2</v>
      </c>
      <c r="D18" s="10">
        <f t="shared" si="4"/>
        <v>0.91361199999999998</v>
      </c>
      <c r="E18" s="198">
        <f>IF(B18&lt;=$C$2,1,IF(B18=$C$2+1,PRODUCT($D$5:D18),E17*D18))</f>
        <v>0.52690195646009119</v>
      </c>
      <c r="F18" s="10">
        <f t="shared" si="0"/>
        <v>0.57747508282180582</v>
      </c>
      <c r="G18" s="10">
        <f t="shared" si="5"/>
        <v>0.30427275094576267</v>
      </c>
      <c r="I18" s="13">
        <f t="shared" si="1"/>
        <v>2634.5097823004558</v>
      </c>
      <c r="J18" s="11">
        <f>(SUM(G19:$G$79)*$I$1)</f>
        <v>6852.0846221333886</v>
      </c>
      <c r="K18" s="11">
        <f t="shared" si="6"/>
        <v>-1521.3637547288126</v>
      </c>
      <c r="Q18" s="65">
        <v>14</v>
      </c>
      <c r="R18" s="66">
        <f>Inputs!H21</f>
        <v>2.13E-4</v>
      </c>
    </row>
    <row r="19" spans="1:18" x14ac:dyDescent="0.25">
      <c r="A19">
        <f t="shared" si="2"/>
        <v>89</v>
      </c>
      <c r="B19">
        <v>15</v>
      </c>
      <c r="C19" s="12">
        <f t="shared" si="3"/>
        <v>9.7633999999999999E-2</v>
      </c>
      <c r="D19" s="10">
        <f t="shared" si="4"/>
        <v>0.902366</v>
      </c>
      <c r="E19" s="198">
        <f>IF(B19&lt;=$C$2,1,IF(B19=$C$2+1,PRODUCT($D$5:D19),E18*D19))</f>
        <v>0.47545841084306667</v>
      </c>
      <c r="F19" s="10">
        <f t="shared" si="0"/>
        <v>0.55526450271327477</v>
      </c>
      <c r="G19" s="10">
        <f t="shared" si="5"/>
        <v>0.26400517805761931</v>
      </c>
      <c r="I19" s="13">
        <f t="shared" si="1"/>
        <v>2377.2920542153333</v>
      </c>
      <c r="J19" s="11">
        <f>(SUM(G20:$G$79)*$I$1)</f>
        <v>5532.0587318452908</v>
      </c>
      <c r="K19" s="11">
        <f t="shared" si="6"/>
        <v>-1320.0258902880978</v>
      </c>
      <c r="Q19" s="65">
        <v>15</v>
      </c>
      <c r="R19" s="66">
        <f>Inputs!H22</f>
        <v>2.5399999999999999E-4</v>
      </c>
    </row>
    <row r="20" spans="1:18" x14ac:dyDescent="0.25">
      <c r="A20">
        <f t="shared" si="2"/>
        <v>90</v>
      </c>
      <c r="B20">
        <v>16</v>
      </c>
      <c r="C20" s="12">
        <f t="shared" si="3"/>
        <v>0.10999299999999999</v>
      </c>
      <c r="D20" s="10">
        <f t="shared" si="4"/>
        <v>0.89000699999999999</v>
      </c>
      <c r="E20" s="198">
        <f>IF(B20&lt;=$C$2,1,IF(B20=$C$2+1,PRODUCT($D$5:D20),E19*D20))</f>
        <v>0.42316131385920525</v>
      </c>
      <c r="F20" s="10">
        <f t="shared" si="0"/>
        <v>0.53390817568584104</v>
      </c>
      <c r="G20" s="10">
        <f t="shared" si="5"/>
        <v>0.22592928510339189</v>
      </c>
      <c r="I20" s="13">
        <f t="shared" si="1"/>
        <v>2115.8065692960263</v>
      </c>
      <c r="J20" s="11">
        <f>(SUM(G21:$G$79)*$I$1)</f>
        <v>4402.4123063283341</v>
      </c>
      <c r="K20" s="11">
        <f t="shared" si="6"/>
        <v>-1129.6464255169567</v>
      </c>
      <c r="Q20" s="65">
        <v>16</v>
      </c>
      <c r="R20" s="66">
        <f>Inputs!H23</f>
        <v>2.9300000000000002E-4</v>
      </c>
    </row>
    <row r="21" spans="1:18" x14ac:dyDescent="0.25">
      <c r="A21">
        <f t="shared" si="2"/>
        <v>91</v>
      </c>
      <c r="B21">
        <v>17</v>
      </c>
      <c r="C21" s="12">
        <f t="shared" si="3"/>
        <v>0.12311900000000001</v>
      </c>
      <c r="D21" s="10">
        <f t="shared" si="4"/>
        <v>0.87688100000000002</v>
      </c>
      <c r="E21" s="198">
        <f>IF(B21&lt;=$C$2,1,IF(B21=$C$2+1,PRODUCT($D$5:D21),E20*D21))</f>
        <v>0.37106211605817374</v>
      </c>
      <c r="F21" s="10">
        <f t="shared" si="0"/>
        <v>0.51337324585177024</v>
      </c>
      <c r="G21" s="10">
        <f t="shared" si="5"/>
        <v>0.19049336293341093</v>
      </c>
      <c r="I21" s="13">
        <f t="shared" si="1"/>
        <v>1855.3105802908688</v>
      </c>
      <c r="J21" s="11">
        <f>(SUM(G22:$G$79)*$I$1)</f>
        <v>3449.9454916612804</v>
      </c>
      <c r="K21" s="11">
        <f t="shared" si="6"/>
        <v>-952.46681466705377</v>
      </c>
      <c r="Q21" s="65">
        <v>17</v>
      </c>
      <c r="R21" s="66">
        <f>Inputs!H24</f>
        <v>3.28E-4</v>
      </c>
    </row>
    <row r="22" spans="1:18" x14ac:dyDescent="0.25">
      <c r="A22">
        <f t="shared" si="2"/>
        <v>92</v>
      </c>
      <c r="B22">
        <v>18</v>
      </c>
      <c r="C22" s="12">
        <f t="shared" si="3"/>
        <v>0.13716800000000001</v>
      </c>
      <c r="D22" s="10">
        <f t="shared" si="4"/>
        <v>0.86283200000000004</v>
      </c>
      <c r="E22" s="198">
        <f>IF(B22&lt;=$C$2,1,IF(B22=$C$2+1,PRODUCT($D$5:D22),E21*D22))</f>
        <v>0.32016426772270618</v>
      </c>
      <c r="F22" s="10">
        <f t="shared" si="0"/>
        <v>0.49362812101131748</v>
      </c>
      <c r="G22" s="10">
        <f t="shared" si="5"/>
        <v>0.15804208589092386</v>
      </c>
      <c r="I22" s="13">
        <f t="shared" si="1"/>
        <v>1600.8213386135308</v>
      </c>
      <c r="J22" s="11">
        <f>(SUM(G23:$G$79)*$I$1)</f>
        <v>2659.735062206661</v>
      </c>
      <c r="K22" s="11">
        <f t="shared" si="6"/>
        <v>-790.21042945461932</v>
      </c>
      <c r="Q22" s="65">
        <v>18</v>
      </c>
      <c r="R22" s="66">
        <f>Inputs!H25</f>
        <v>3.59E-4</v>
      </c>
    </row>
    <row r="23" spans="1:18" x14ac:dyDescent="0.25">
      <c r="A23">
        <f t="shared" si="2"/>
        <v>93</v>
      </c>
      <c r="B23">
        <v>19</v>
      </c>
      <c r="C23" s="12">
        <f t="shared" si="3"/>
        <v>0.152171</v>
      </c>
      <c r="D23" s="10">
        <f t="shared" si="4"/>
        <v>0.84782899999999994</v>
      </c>
      <c r="E23" s="198">
        <f>IF(B23&lt;=$C$2,1,IF(B23=$C$2+1,PRODUCT($D$5:D23),E22*D23))</f>
        <v>0.27144455093907421</v>
      </c>
      <c r="F23" s="10">
        <f t="shared" si="0"/>
        <v>0.47464242404934376</v>
      </c>
      <c r="G23" s="10">
        <f t="shared" si="5"/>
        <v>0.12883909965270776</v>
      </c>
      <c r="I23" s="13">
        <f t="shared" si="1"/>
        <v>1357.2227546953711</v>
      </c>
      <c r="J23" s="11">
        <f>(SUM(G24:$G$79)*$I$1)</f>
        <v>2015.5395639431222</v>
      </c>
      <c r="K23" s="11">
        <f t="shared" si="6"/>
        <v>-644.19549826353887</v>
      </c>
      <c r="Q23" s="65">
        <v>19</v>
      </c>
      <c r="R23" s="66">
        <f>Inputs!H26</f>
        <v>3.8699999999999997E-4</v>
      </c>
    </row>
    <row r="24" spans="1:18" x14ac:dyDescent="0.25">
      <c r="A24">
        <f t="shared" si="2"/>
        <v>94</v>
      </c>
      <c r="B24">
        <v>20</v>
      </c>
      <c r="C24" s="12">
        <f t="shared" si="3"/>
        <v>0.16819400000000001</v>
      </c>
      <c r="D24" s="10">
        <f t="shared" si="4"/>
        <v>0.83180600000000005</v>
      </c>
      <c r="E24" s="198">
        <f>IF(B24&lt;=$C$2,1,IF(B24=$C$2+1,PRODUCT($D$5:D24),E23*D24))</f>
        <v>0.22578920613842757</v>
      </c>
      <c r="F24" s="10">
        <f t="shared" si="0"/>
        <v>0.45638694620129205</v>
      </c>
      <c r="G24" s="10">
        <f t="shared" si="5"/>
        <v>0.10304724627473098</v>
      </c>
      <c r="I24" s="13">
        <f t="shared" si="1"/>
        <v>1128.9460306921378</v>
      </c>
      <c r="J24" s="11">
        <f>(SUM(G25:$G$79)*$I$1)</f>
        <v>1500.3033325694673</v>
      </c>
      <c r="K24" s="11">
        <f t="shared" si="6"/>
        <v>-515.23623137365485</v>
      </c>
      <c r="Q24" s="65">
        <v>20</v>
      </c>
      <c r="R24" s="66">
        <f>Inputs!H27</f>
        <v>4.1399999999999998E-4</v>
      </c>
    </row>
    <row r="25" spans="1:18" x14ac:dyDescent="0.25">
      <c r="A25">
        <f t="shared" si="2"/>
        <v>95</v>
      </c>
      <c r="B25">
        <v>21</v>
      </c>
      <c r="C25" s="12">
        <f t="shared" si="3"/>
        <v>0.18526000000000001</v>
      </c>
      <c r="D25" s="10">
        <f t="shared" si="4"/>
        <v>0.81474000000000002</v>
      </c>
      <c r="E25" s="198">
        <f>IF(B25&lt;=$C$2,1,IF(B25=$C$2+1,PRODUCT($D$5:D25),E24*D25))</f>
        <v>0.18395949780922249</v>
      </c>
      <c r="F25" s="10">
        <f t="shared" si="0"/>
        <v>0.43883360211662686</v>
      </c>
      <c r="G25" s="10">
        <f t="shared" si="5"/>
        <v>8.0727609067186831E-2</v>
      </c>
      <c r="I25" s="13">
        <f t="shared" si="1"/>
        <v>919.79748904611245</v>
      </c>
      <c r="J25" s="11">
        <f>(SUM(G26:$G$79)*$I$1)</f>
        <v>1096.6652872335328</v>
      </c>
      <c r="K25" s="11">
        <f t="shared" si="6"/>
        <v>-403.63804533593452</v>
      </c>
      <c r="Q25" s="65">
        <v>21</v>
      </c>
      <c r="R25" s="66">
        <f>Inputs!H28</f>
        <v>4.4299999999999998E-4</v>
      </c>
    </row>
    <row r="26" spans="1:18" x14ac:dyDescent="0.25">
      <c r="A26">
        <f t="shared" si="2"/>
        <v>96</v>
      </c>
      <c r="B26">
        <v>22</v>
      </c>
      <c r="C26" s="12">
        <f t="shared" si="3"/>
        <v>0.197322</v>
      </c>
      <c r="D26" s="10">
        <f t="shared" si="4"/>
        <v>0.802678</v>
      </c>
      <c r="E26" s="198">
        <f>IF(B26&lt;=$C$2,1,IF(B26=$C$2+1,PRODUCT($D$5:D26),E25*D26))</f>
        <v>0.14766024178251108</v>
      </c>
      <c r="F26" s="10">
        <f t="shared" si="0"/>
        <v>0.42195538665060278</v>
      </c>
      <c r="G26" s="10">
        <f t="shared" si="5"/>
        <v>6.2306034414260955E-2</v>
      </c>
      <c r="I26" s="13">
        <f t="shared" si="1"/>
        <v>738.30120891255535</v>
      </c>
      <c r="J26" s="11">
        <f>(SUM(G27:$G$79)*$I$1)</f>
        <v>785.13511516222798</v>
      </c>
      <c r="K26" s="11">
        <f t="shared" si="6"/>
        <v>-311.53017207130483</v>
      </c>
      <c r="Q26" s="65">
        <v>22</v>
      </c>
      <c r="R26" s="66">
        <f>Inputs!H29</f>
        <v>4.73E-4</v>
      </c>
    </row>
    <row r="27" spans="1:18" x14ac:dyDescent="0.25">
      <c r="A27">
        <f t="shared" si="2"/>
        <v>97</v>
      </c>
      <c r="B27">
        <v>23</v>
      </c>
      <c r="C27" s="12">
        <f t="shared" si="3"/>
        <v>0.214751</v>
      </c>
      <c r="D27" s="10">
        <f t="shared" si="4"/>
        <v>0.78524899999999997</v>
      </c>
      <c r="E27" s="198">
        <f>IF(B27&lt;=$C$2,1,IF(B27=$C$2+1,PRODUCT($D$5:D27),E26*D27))</f>
        <v>0.11595005719947504</v>
      </c>
      <c r="F27" s="10">
        <f t="shared" si="0"/>
        <v>0.40572633331788732</v>
      </c>
      <c r="G27" s="10">
        <f t="shared" si="5"/>
        <v>4.7043991555542314E-2</v>
      </c>
      <c r="I27" s="13">
        <f t="shared" si="1"/>
        <v>579.75028599737516</v>
      </c>
      <c r="J27" s="11">
        <f>(SUM(G28:$G$79)*$I$1)</f>
        <v>549.91515738451642</v>
      </c>
      <c r="K27" s="11">
        <f t="shared" si="6"/>
        <v>-235.21995777771156</v>
      </c>
      <c r="Q27" s="65">
        <v>23</v>
      </c>
      <c r="R27" s="66">
        <f>Inputs!H30</f>
        <v>5.13E-4</v>
      </c>
    </row>
    <row r="28" spans="1:18" x14ac:dyDescent="0.25">
      <c r="A28">
        <f t="shared" si="2"/>
        <v>98</v>
      </c>
      <c r="B28">
        <v>24</v>
      </c>
      <c r="C28" s="12">
        <f t="shared" si="3"/>
        <v>0.23250699999999999</v>
      </c>
      <c r="D28" s="10">
        <f t="shared" si="4"/>
        <v>0.76749299999999998</v>
      </c>
      <c r="E28" s="198">
        <f>IF(B28&lt;=$C$2,1,IF(B28=$C$2+1,PRODUCT($D$5:D28),E27*D28))</f>
        <v>8.8990857250196703E-2</v>
      </c>
      <c r="F28" s="10">
        <f t="shared" si="0"/>
        <v>0.39012147434412242</v>
      </c>
      <c r="G28" s="10">
        <f t="shared" si="5"/>
        <v>3.4717244433594072E-2</v>
      </c>
      <c r="I28" s="13">
        <f t="shared" si="1"/>
        <v>444.9542862509835</v>
      </c>
      <c r="J28" s="11">
        <f>(SUM(G29:$G$79)*$I$1)</f>
        <v>376.32893521654614</v>
      </c>
      <c r="K28" s="11">
        <f t="shared" si="6"/>
        <v>-173.58622216797028</v>
      </c>
      <c r="Q28" s="65">
        <v>24</v>
      </c>
      <c r="R28" s="66">
        <f>Inputs!H31</f>
        <v>5.5400000000000002E-4</v>
      </c>
    </row>
    <row r="29" spans="1:18" x14ac:dyDescent="0.25">
      <c r="A29">
        <f t="shared" si="2"/>
        <v>99</v>
      </c>
      <c r="B29">
        <v>25</v>
      </c>
      <c r="C29" s="12">
        <f t="shared" si="3"/>
        <v>0.25039699999999998</v>
      </c>
      <c r="D29" s="10">
        <f t="shared" si="4"/>
        <v>0.74960300000000002</v>
      </c>
      <c r="E29" s="198">
        <f>IF(B29&lt;=$C$2,1,IF(B29=$C$2+1,PRODUCT($D$5:D29),E28*D29))</f>
        <v>6.6707813567319196E-2</v>
      </c>
      <c r="F29" s="10">
        <f t="shared" si="0"/>
        <v>0.37511680225396377</v>
      </c>
      <c r="G29" s="10">
        <f t="shared" si="5"/>
        <v>2.5023221710726355E-2</v>
      </c>
      <c r="I29" s="13">
        <f t="shared" si="1"/>
        <v>333.53906783659596</v>
      </c>
      <c r="J29" s="11">
        <f>(SUM(G30:$G$79)*$I$1)</f>
        <v>251.21282666291441</v>
      </c>
      <c r="K29" s="11">
        <f t="shared" si="6"/>
        <v>-125.11610855363173</v>
      </c>
      <c r="Q29" s="65">
        <v>25</v>
      </c>
      <c r="R29" s="66">
        <f>Inputs!H32</f>
        <v>6.02E-4</v>
      </c>
    </row>
    <row r="30" spans="1:18" x14ac:dyDescent="0.25">
      <c r="A30">
        <f t="shared" si="2"/>
        <v>100</v>
      </c>
      <c r="B30">
        <v>26</v>
      </c>
      <c r="C30" s="12">
        <f t="shared" si="3"/>
        <v>0.26860699999999998</v>
      </c>
      <c r="D30" s="10">
        <f t="shared" si="4"/>
        <v>0.73139299999999996</v>
      </c>
      <c r="E30" s="198">
        <f>IF(B30&lt;=$C$2,1,IF(B30=$C$2+1,PRODUCT($D$5:D30),E29*D30))</f>
        <v>4.8789627888442287E-2</v>
      </c>
      <c r="F30" s="10">
        <f t="shared" si="0"/>
        <v>0.36068923293650368</v>
      </c>
      <c r="G30" s="10">
        <f t="shared" si="5"/>
        <v>1.7597893458339696E-2</v>
      </c>
      <c r="I30" s="13">
        <f t="shared" si="1"/>
        <v>243.94813944221144</v>
      </c>
      <c r="J30" s="11">
        <f>(SUM(G31:$G$79)*$I$1)</f>
        <v>163.22335937121593</v>
      </c>
      <c r="K30" s="11">
        <f t="shared" si="6"/>
        <v>-87.989467291698475</v>
      </c>
      <c r="Q30" s="65">
        <v>26</v>
      </c>
      <c r="R30" s="66">
        <f>Inputs!H33</f>
        <v>6.5499999999999998E-4</v>
      </c>
    </row>
    <row r="31" spans="1:18" x14ac:dyDescent="0.25">
      <c r="A31">
        <f t="shared" si="2"/>
        <v>101</v>
      </c>
      <c r="B31">
        <v>27</v>
      </c>
      <c r="C31" s="12">
        <f t="shared" si="3"/>
        <v>0.290016</v>
      </c>
      <c r="D31" s="10">
        <f t="shared" si="4"/>
        <v>0.70998399999999995</v>
      </c>
      <c r="E31" s="198">
        <f>IF(B31&lt;=$C$2,1,IF(B31=$C$2+1,PRODUCT($D$5:D31),E30*D31))</f>
        <v>3.4639855166747807E-2</v>
      </c>
      <c r="F31" s="10">
        <f t="shared" si="0"/>
        <v>0.3468165701312535</v>
      </c>
      <c r="G31" s="10">
        <f t="shared" si="5"/>
        <v>1.2013675758774855E-2</v>
      </c>
      <c r="I31" s="13">
        <f t="shared" si="1"/>
        <v>173.19927583373902</v>
      </c>
      <c r="J31" s="11">
        <f>(SUM(G32:$G$79)*$I$1)</f>
        <v>103.15498057734165</v>
      </c>
      <c r="K31" s="11">
        <f t="shared" si="6"/>
        <v>-60.068378793874288</v>
      </c>
      <c r="Q31" s="65">
        <v>27</v>
      </c>
      <c r="R31" s="66">
        <f>Inputs!H34</f>
        <v>6.8800000000000003E-4</v>
      </c>
    </row>
    <row r="32" spans="1:18" x14ac:dyDescent="0.25">
      <c r="A32">
        <f t="shared" si="2"/>
        <v>102</v>
      </c>
      <c r="B32">
        <v>28</v>
      </c>
      <c r="C32" s="12">
        <f t="shared" si="3"/>
        <v>0.31184899999999999</v>
      </c>
      <c r="D32" s="10">
        <f t="shared" si="4"/>
        <v>0.68815099999999996</v>
      </c>
      <c r="E32" s="198">
        <f>IF(B32&lt;=$C$2,1,IF(B32=$C$2+1,PRODUCT($D$5:D32),E31*D32))</f>
        <v>2.383745097285267E-2</v>
      </c>
      <c r="F32" s="10">
        <f t="shared" si="0"/>
        <v>0.3334774712800514</v>
      </c>
      <c r="G32" s="10">
        <f t="shared" si="5"/>
        <v>7.9492528721891095E-3</v>
      </c>
      <c r="I32" s="13">
        <f t="shared" si="1"/>
        <v>119.18725486426335</v>
      </c>
      <c r="J32" s="11">
        <f>(SUM(G33:$G$79)*$I$1)</f>
        <v>63.408716216396094</v>
      </c>
      <c r="K32" s="11">
        <f t="shared" si="6"/>
        <v>-39.746264360945553</v>
      </c>
      <c r="Q32" s="65">
        <v>28</v>
      </c>
      <c r="R32" s="66">
        <f>Inputs!H35</f>
        <v>7.1000000000000002E-4</v>
      </c>
    </row>
    <row r="33" spans="1:18" x14ac:dyDescent="0.25">
      <c r="A33">
        <f t="shared" si="2"/>
        <v>103</v>
      </c>
      <c r="B33">
        <v>29</v>
      </c>
      <c r="C33" s="12">
        <f t="shared" si="3"/>
        <v>0.33396199999999998</v>
      </c>
      <c r="D33" s="10">
        <f t="shared" si="4"/>
        <v>0.66603800000000002</v>
      </c>
      <c r="E33" s="198">
        <f>IF(B33&lt;=$C$2,1,IF(B33=$C$2+1,PRODUCT($D$5:D33),E32*D33))</f>
        <v>1.5876648171056846E-2</v>
      </c>
      <c r="F33" s="10">
        <f t="shared" si="0"/>
        <v>0.32065141469235708</v>
      </c>
      <c r="G33" s="10">
        <f t="shared" si="5"/>
        <v>5.0908696966222014E-3</v>
      </c>
      <c r="I33" s="13">
        <f t="shared" si="1"/>
        <v>79.383240855284228</v>
      </c>
      <c r="J33" s="11">
        <f>(SUM(G34:$G$79)*$I$1)</f>
        <v>37.954367733285082</v>
      </c>
      <c r="K33" s="11">
        <f t="shared" si="6"/>
        <v>-25.454348483111012</v>
      </c>
      <c r="Q33" s="65">
        <v>29</v>
      </c>
      <c r="R33" s="66">
        <f>Inputs!H36</f>
        <v>7.27E-4</v>
      </c>
    </row>
    <row r="34" spans="1:18" x14ac:dyDescent="0.25">
      <c r="A34">
        <f t="shared" si="2"/>
        <v>104</v>
      </c>
      <c r="B34">
        <v>30</v>
      </c>
      <c r="C34" s="12">
        <f t="shared" si="3"/>
        <v>0.356207</v>
      </c>
      <c r="D34" s="10">
        <f t="shared" si="4"/>
        <v>0.64379300000000006</v>
      </c>
      <c r="E34" s="198">
        <f>IF(B34&lt;=$C$2,1,IF(B34=$C$2+1,PRODUCT($D$5:D34),E33*D34))</f>
        <v>1.0221274955989202E-2</v>
      </c>
      <c r="F34" s="10">
        <f t="shared" si="0"/>
        <v>0.30831866797342034</v>
      </c>
      <c r="G34" s="10">
        <f t="shared" si="5"/>
        <v>3.1514098794206712E-3</v>
      </c>
      <c r="I34" s="13">
        <f t="shared" si="1"/>
        <v>51.106374779946009</v>
      </c>
      <c r="J34" s="11">
        <f>(SUM(G35:$G$79)*$I$1)</f>
        <v>22.197318336181727</v>
      </c>
      <c r="K34" s="11">
        <f t="shared" si="6"/>
        <v>-15.757049397103355</v>
      </c>
      <c r="Q34" s="65">
        <v>30</v>
      </c>
      <c r="R34" s="66">
        <f>Inputs!H37</f>
        <v>7.4100000000000001E-4</v>
      </c>
    </row>
    <row r="35" spans="1:18" x14ac:dyDescent="0.25">
      <c r="A35">
        <f t="shared" si="2"/>
        <v>105</v>
      </c>
      <c r="B35">
        <v>31</v>
      </c>
      <c r="C35" s="12">
        <f t="shared" si="3"/>
        <v>0.38</v>
      </c>
      <c r="D35" s="10">
        <f t="shared" si="4"/>
        <v>0.62</v>
      </c>
      <c r="E35" s="198">
        <f>IF(B35&lt;=$C$2,1,IF(B35=$C$2+1,PRODUCT($D$5:D35),E34*D35))</f>
        <v>6.3371904727133046E-3</v>
      </c>
      <c r="F35" s="10">
        <f t="shared" si="0"/>
        <v>0.29646025766675027</v>
      </c>
      <c r="G35" s="10">
        <f t="shared" si="5"/>
        <v>1.8787251204238613E-3</v>
      </c>
      <c r="I35" s="13">
        <f t="shared" si="1"/>
        <v>31.685952363566525</v>
      </c>
      <c r="J35" s="11">
        <f>(SUM(G36:$G$79)*$I$1)</f>
        <v>12.803692734062423</v>
      </c>
      <c r="K35" s="11">
        <f t="shared" si="6"/>
        <v>-9.3936256021193039</v>
      </c>
      <c r="Q35" s="65">
        <v>31</v>
      </c>
      <c r="R35" s="66">
        <f>Inputs!H38</f>
        <v>7.5100000000000004E-4</v>
      </c>
    </row>
    <row r="36" spans="1:18" x14ac:dyDescent="0.25">
      <c r="A36">
        <f t="shared" si="2"/>
        <v>106</v>
      </c>
      <c r="B36">
        <v>32</v>
      </c>
      <c r="C36" s="12">
        <f t="shared" si="3"/>
        <v>0.4</v>
      </c>
      <c r="D36" s="10">
        <f t="shared" si="4"/>
        <v>0.6</v>
      </c>
      <c r="E36" s="198">
        <f>IF(B36&lt;=$C$2,1,IF(B36=$C$2+1,PRODUCT($D$5:D36),E35*D36))</f>
        <v>3.8023142836279824E-3</v>
      </c>
      <c r="F36" s="10">
        <f t="shared" si="0"/>
        <v>0.28505794006418295</v>
      </c>
      <c r="G36" s="10">
        <f t="shared" si="5"/>
        <v>1.083879877167612E-3</v>
      </c>
      <c r="I36" s="13">
        <f t="shared" si="1"/>
        <v>19.011571418139912</v>
      </c>
      <c r="J36" s="11">
        <f>(SUM(G37:$G$79)*$I$1)</f>
        <v>7.3842933482243582</v>
      </c>
      <c r="K36" s="11">
        <f t="shared" si="6"/>
        <v>-5.4193993858380649</v>
      </c>
      <c r="Q36" s="65">
        <v>32</v>
      </c>
      <c r="R36" s="66">
        <f>Inputs!H39</f>
        <v>7.54E-4</v>
      </c>
    </row>
    <row r="37" spans="1:18" x14ac:dyDescent="0.25">
      <c r="A37">
        <f t="shared" si="2"/>
        <v>107</v>
      </c>
      <c r="B37">
        <v>33</v>
      </c>
      <c r="C37" s="12">
        <f t="shared" si="3"/>
        <v>0.4</v>
      </c>
      <c r="D37" s="10">
        <f t="shared" si="4"/>
        <v>0.6</v>
      </c>
      <c r="E37" s="198">
        <f>IF(B37&lt;=$C$2,1,IF(B37=$C$2+1,PRODUCT($D$5:D37),E36*D37))</f>
        <v>2.2813885701767895E-3</v>
      </c>
      <c r="F37" s="10">
        <f t="shared" si="0"/>
        <v>0.27409417313863743</v>
      </c>
      <c r="G37" s="10">
        <f t="shared" si="5"/>
        <v>6.2531531375054549E-4</v>
      </c>
      <c r="I37" s="13">
        <f t="shared" si="1"/>
        <v>11.406942850883947</v>
      </c>
      <c r="J37" s="11">
        <f>(SUM(G38:$G$79)*$I$1)</f>
        <v>4.2577167794716324</v>
      </c>
      <c r="K37" s="11">
        <f t="shared" si="6"/>
        <v>-3.1265765687527258</v>
      </c>
      <c r="Q37" s="65">
        <v>33</v>
      </c>
      <c r="R37" s="66">
        <f>Inputs!H40</f>
        <v>7.5600000000000005E-4</v>
      </c>
    </row>
    <row r="38" spans="1:18" x14ac:dyDescent="0.25">
      <c r="A38">
        <f t="shared" si="2"/>
        <v>108</v>
      </c>
      <c r="B38">
        <v>34</v>
      </c>
      <c r="C38" s="12">
        <f t="shared" si="3"/>
        <v>0.4</v>
      </c>
      <c r="D38" s="10">
        <f t="shared" si="4"/>
        <v>0.6</v>
      </c>
      <c r="E38" s="198">
        <f>IF(B38&lt;=$C$2,1,IF(B38=$C$2+1,PRODUCT($D$5:D38),E37*D38))</f>
        <v>1.3688331421060737E-3</v>
      </c>
      <c r="F38" s="10">
        <f t="shared" si="0"/>
        <v>0.26355208955638215</v>
      </c>
      <c r="G38" s="10">
        <f t="shared" si="5"/>
        <v>3.6075883485608393E-4</v>
      </c>
      <c r="I38" s="13">
        <f t="shared" si="1"/>
        <v>6.844165710530369</v>
      </c>
      <c r="J38" s="11">
        <f>(SUM(G39:$G$79)*$I$1)</f>
        <v>2.4539226051912131</v>
      </c>
      <c r="K38" s="11">
        <f t="shared" si="6"/>
        <v>-1.8037941742804193</v>
      </c>
      <c r="Q38" s="65">
        <v>34</v>
      </c>
      <c r="R38" s="66">
        <f>Inputs!H41</f>
        <v>7.5600000000000005E-4</v>
      </c>
    </row>
    <row r="39" spans="1:18" x14ac:dyDescent="0.25">
      <c r="A39">
        <f t="shared" si="2"/>
        <v>109</v>
      </c>
      <c r="B39">
        <v>35</v>
      </c>
      <c r="C39" s="12">
        <f t="shared" si="3"/>
        <v>0.4</v>
      </c>
      <c r="D39" s="10">
        <f t="shared" si="4"/>
        <v>0.6</v>
      </c>
      <c r="E39" s="198">
        <f>IF(B39&lt;=$C$2,1,IF(B39=$C$2+1,PRODUCT($D$5:D39),E38*D39))</f>
        <v>8.2129988526364424E-4</v>
      </c>
      <c r="F39" s="10">
        <f t="shared" si="0"/>
        <v>0.25341547072729048</v>
      </c>
      <c r="G39" s="10">
        <f t="shared" si="5"/>
        <v>2.0813009703235606E-4</v>
      </c>
      <c r="I39" s="13">
        <f t="shared" si="1"/>
        <v>4.1064994263182211</v>
      </c>
      <c r="J39" s="11">
        <f>(SUM(G40:$G$79)*$I$1)</f>
        <v>1.4132721200294327</v>
      </c>
      <c r="K39" s="11">
        <f t="shared" si="6"/>
        <v>-1.0406504851617804</v>
      </c>
      <c r="Q39" s="65">
        <v>35</v>
      </c>
      <c r="R39" s="66">
        <f>Inputs!H42</f>
        <v>7.5600000000000005E-4</v>
      </c>
    </row>
    <row r="40" spans="1:18" x14ac:dyDescent="0.25">
      <c r="A40">
        <f t="shared" si="2"/>
        <v>110</v>
      </c>
      <c r="B40">
        <v>36</v>
      </c>
      <c r="C40" s="12">
        <f t="shared" si="3"/>
        <v>0.4</v>
      </c>
      <c r="D40" s="10">
        <f t="shared" si="4"/>
        <v>0.6</v>
      </c>
      <c r="E40" s="198">
        <f>IF(B40&lt;=$C$2,1,IF(B40=$C$2+1,PRODUCT($D$5:D40),E39*D40))</f>
        <v>4.9277993115818652E-4</v>
      </c>
      <c r="F40" s="10">
        <f t="shared" si="0"/>
        <v>0.24366872185316396</v>
      </c>
      <c r="G40" s="10">
        <f t="shared" si="5"/>
        <v>1.2007505598020543E-4</v>
      </c>
      <c r="I40" s="13">
        <f t="shared" si="1"/>
        <v>2.4638996557909327</v>
      </c>
      <c r="J40" s="11">
        <f>(SUM(G41:$G$79)*$I$1)</f>
        <v>0.81289684012840524</v>
      </c>
      <c r="K40" s="11">
        <f t="shared" si="6"/>
        <v>-0.60037527990102746</v>
      </c>
      <c r="Q40" s="65">
        <v>36</v>
      </c>
      <c r="R40" s="66">
        <f>Inputs!H43</f>
        <v>7.5600000000000005E-4</v>
      </c>
    </row>
    <row r="41" spans="1:18" x14ac:dyDescent="0.25">
      <c r="A41">
        <f t="shared" si="2"/>
        <v>111</v>
      </c>
      <c r="B41">
        <v>37</v>
      </c>
      <c r="C41" s="12">
        <f t="shared" si="3"/>
        <v>0.4</v>
      </c>
      <c r="D41" s="10">
        <f t="shared" si="4"/>
        <v>0.6</v>
      </c>
      <c r="E41" s="198">
        <f>IF(B41&lt;=$C$2,1,IF(B41=$C$2+1,PRODUCT($D$5:D41),E40*D41))</f>
        <v>2.9566795869491192E-4</v>
      </c>
      <c r="F41" s="10">
        <f t="shared" si="0"/>
        <v>0.23429684793573452</v>
      </c>
      <c r="G41" s="10">
        <f t="shared" si="5"/>
        <v>6.9274070757810812E-5</v>
      </c>
      <c r="I41" s="13">
        <f t="shared" si="1"/>
        <v>1.4783397934745597</v>
      </c>
      <c r="J41" s="11">
        <f>(SUM(G42:$G$79)*$I$1)</f>
        <v>0.46652648633935118</v>
      </c>
      <c r="K41" s="11">
        <f t="shared" si="6"/>
        <v>-0.34637035378905406</v>
      </c>
      <c r="Q41" s="65">
        <v>37</v>
      </c>
      <c r="R41" s="66">
        <f>Inputs!H44</f>
        <v>7.5600000000000005E-4</v>
      </c>
    </row>
    <row r="42" spans="1:18" x14ac:dyDescent="0.25">
      <c r="A42">
        <f t="shared" si="2"/>
        <v>112</v>
      </c>
      <c r="B42">
        <v>38</v>
      </c>
      <c r="C42" s="12">
        <f t="shared" si="3"/>
        <v>0.4</v>
      </c>
      <c r="D42" s="10">
        <f t="shared" si="4"/>
        <v>0.6</v>
      </c>
      <c r="E42" s="198">
        <f>IF(B42&lt;=$C$2,1,IF(B42=$C$2+1,PRODUCT($D$5:D42),E41*D42))</f>
        <v>1.7740077521694714E-4</v>
      </c>
      <c r="F42" s="10">
        <f t="shared" si="0"/>
        <v>0.22528543070743706</v>
      </c>
      <c r="G42" s="10">
        <f t="shared" si="5"/>
        <v>3.9965810052583165E-5</v>
      </c>
      <c r="I42" s="13">
        <f t="shared" si="1"/>
        <v>0.88700387608473574</v>
      </c>
      <c r="J42" s="11">
        <f>(SUM(G43:$G$79)*$I$1)</f>
        <v>0.26669743607643542</v>
      </c>
      <c r="K42" s="11">
        <f t="shared" si="6"/>
        <v>-0.19982905026291575</v>
      </c>
      <c r="Q42" s="65">
        <v>38</v>
      </c>
      <c r="R42" s="66">
        <f>Inputs!H45</f>
        <v>7.5600000000000005E-4</v>
      </c>
    </row>
    <row r="43" spans="1:18" x14ac:dyDescent="0.25">
      <c r="A43">
        <f t="shared" si="2"/>
        <v>113</v>
      </c>
      <c r="B43">
        <v>39</v>
      </c>
      <c r="C43" s="12">
        <f t="shared" si="3"/>
        <v>0.4</v>
      </c>
      <c r="D43" s="10">
        <f t="shared" si="4"/>
        <v>0.6</v>
      </c>
      <c r="E43" s="198">
        <f>IF(B43&lt;=$C$2,1,IF(B43=$C$2+1,PRODUCT($D$5:D43),E42*D43))</f>
        <v>1.0644046513016829E-4</v>
      </c>
      <c r="F43" s="10">
        <f t="shared" si="0"/>
        <v>0.21662060644945874</v>
      </c>
      <c r="G43" s="10">
        <f t="shared" si="5"/>
        <v>2.3057198107259519E-5</v>
      </c>
      <c r="I43" s="13">
        <f t="shared" si="1"/>
        <v>0.53220232565084147</v>
      </c>
      <c r="J43" s="11">
        <f>(SUM(G44:$G$79)*$I$1)</f>
        <v>0.1514114455401378</v>
      </c>
      <c r="K43" s="11">
        <f t="shared" si="6"/>
        <v>-0.11528599053629762</v>
      </c>
      <c r="Q43" s="65">
        <v>39</v>
      </c>
      <c r="R43" s="66">
        <f>Inputs!H46</f>
        <v>8.0000000000000004E-4</v>
      </c>
    </row>
    <row r="44" spans="1:18" x14ac:dyDescent="0.25">
      <c r="A44">
        <f t="shared" si="2"/>
        <v>114</v>
      </c>
      <c r="B44">
        <v>40</v>
      </c>
      <c r="C44" s="12">
        <f t="shared" si="3"/>
        <v>0.4</v>
      </c>
      <c r="D44" s="10">
        <f t="shared" si="4"/>
        <v>0.6</v>
      </c>
      <c r="E44" s="198">
        <f>IF(B44&lt;=$C$2,1,IF(B44=$C$2+1,PRODUCT($D$5:D44),E43*D44))</f>
        <v>6.3864279078100971E-5</v>
      </c>
      <c r="F44" s="10">
        <f t="shared" si="0"/>
        <v>0.20828904466294101</v>
      </c>
      <c r="G44" s="10">
        <f t="shared" si="5"/>
        <v>1.3302229677265102E-5</v>
      </c>
      <c r="I44" s="13">
        <f t="shared" si="1"/>
        <v>0.31932139539050486</v>
      </c>
      <c r="J44" s="11">
        <f>(SUM(G45:$G$79)*$I$1)</f>
        <v>8.4900297153812296E-2</v>
      </c>
      <c r="K44" s="11">
        <f t="shared" si="6"/>
        <v>-6.6511148386325505E-2</v>
      </c>
      <c r="Q44" s="65">
        <v>40</v>
      </c>
      <c r="R44" s="66">
        <f>Inputs!H47</f>
        <v>8.5899999999999995E-4</v>
      </c>
    </row>
    <row r="45" spans="1:18" x14ac:dyDescent="0.25">
      <c r="A45">
        <f t="shared" si="2"/>
        <v>115</v>
      </c>
      <c r="B45">
        <v>41</v>
      </c>
      <c r="C45" s="12">
        <f t="shared" si="3"/>
        <v>0.4</v>
      </c>
      <c r="D45" s="10">
        <f t="shared" si="4"/>
        <v>0.6</v>
      </c>
      <c r="E45" s="198">
        <f>IF(B45&lt;=$C$2,1,IF(B45=$C$2+1,PRODUCT($D$5:D45),E44*D45))</f>
        <v>3.8318567446860579E-5</v>
      </c>
      <c r="F45" s="10">
        <f t="shared" si="0"/>
        <v>0.20027792756052021</v>
      </c>
      <c r="G45" s="10">
        <f t="shared" si="5"/>
        <v>7.6743632753452502E-6</v>
      </c>
      <c r="I45" s="13">
        <f t="shared" si="1"/>
        <v>0.1915928372343029</v>
      </c>
      <c r="J45" s="11">
        <f>(SUM(G46:$G$79)*$I$1)</f>
        <v>4.6528480777086038E-2</v>
      </c>
      <c r="K45" s="11">
        <f t="shared" si="6"/>
        <v>-3.8371816376726257E-2</v>
      </c>
      <c r="Q45" s="65">
        <v>41</v>
      </c>
      <c r="R45" s="66">
        <f>Inputs!H48</f>
        <v>9.2599999999999996E-4</v>
      </c>
    </row>
    <row r="46" spans="1:18" x14ac:dyDescent="0.25">
      <c r="A46">
        <f t="shared" si="2"/>
        <v>116</v>
      </c>
      <c r="B46">
        <v>42</v>
      </c>
      <c r="C46" s="12">
        <f t="shared" si="3"/>
        <v>0.4</v>
      </c>
      <c r="D46" s="10">
        <f t="shared" si="4"/>
        <v>0.6</v>
      </c>
      <c r="E46" s="198">
        <f>IF(B46&lt;=$C$2,1,IF(B46=$C$2+1,PRODUCT($D$5:D46),E45*D46))</f>
        <v>2.2991140468116347E-5</v>
      </c>
      <c r="F46" s="10">
        <f t="shared" si="0"/>
        <v>0.19257493034665407</v>
      </c>
      <c r="G46" s="10">
        <f t="shared" si="5"/>
        <v>4.4275172742376454E-6</v>
      </c>
      <c r="I46" s="13">
        <f t="shared" si="1"/>
        <v>0.11495570234058174</v>
      </c>
      <c r="J46" s="11">
        <f>(SUM(G47:$G$79)*$I$1)</f>
        <v>2.4390894405897808E-2</v>
      </c>
      <c r="K46" s="11">
        <f t="shared" si="6"/>
        <v>-2.213758637118823E-2</v>
      </c>
      <c r="Q46" s="65">
        <v>42</v>
      </c>
      <c r="R46" s="66">
        <f>Inputs!H49</f>
        <v>9.990000000000001E-4</v>
      </c>
    </row>
    <row r="47" spans="1:18" x14ac:dyDescent="0.25">
      <c r="A47">
        <f t="shared" si="2"/>
        <v>117</v>
      </c>
      <c r="B47">
        <v>43</v>
      </c>
      <c r="C47" s="12">
        <f t="shared" si="3"/>
        <v>0.4</v>
      </c>
      <c r="D47" s="10">
        <f t="shared" si="4"/>
        <v>0.6</v>
      </c>
      <c r="E47" s="198">
        <f>IF(B47&lt;=$C$2,1,IF(B47=$C$2+1,PRODUCT($D$5:D47),E46*D47))</f>
        <v>1.3794684280869808E-5</v>
      </c>
      <c r="F47" s="10">
        <f t="shared" si="0"/>
        <v>0.18516820225639813</v>
      </c>
      <c r="G47" s="10">
        <f t="shared" si="5"/>
        <v>2.5543368889832564E-6</v>
      </c>
      <c r="I47" s="13">
        <f t="shared" si="1"/>
        <v>6.8973421404349033E-2</v>
      </c>
      <c r="J47" s="11">
        <f>(SUM(G48:$G$79)*$I$1)</f>
        <v>1.1619209960981527E-2</v>
      </c>
      <c r="K47" s="11">
        <f t="shared" si="6"/>
        <v>-1.2771684444916281E-2</v>
      </c>
      <c r="Q47" s="65">
        <v>43</v>
      </c>
      <c r="R47" s="66">
        <f>Inputs!H50</f>
        <v>1.0690000000000001E-3</v>
      </c>
    </row>
    <row r="48" spans="1:18" x14ac:dyDescent="0.25">
      <c r="A48">
        <f t="shared" si="2"/>
        <v>118</v>
      </c>
      <c r="B48">
        <v>44</v>
      </c>
      <c r="C48" s="12">
        <f t="shared" si="3"/>
        <v>0.4</v>
      </c>
      <c r="D48" s="10">
        <f t="shared" si="4"/>
        <v>0.6</v>
      </c>
      <c r="E48" s="198">
        <f>IF(B48&lt;=$C$2,1,IF(B48=$C$2+1,PRODUCT($D$5:D48),E47*D48))</f>
        <v>8.2768105685218844E-6</v>
      </c>
      <c r="F48" s="10">
        <f t="shared" si="0"/>
        <v>0.17804634832345972</v>
      </c>
      <c r="G48" s="10">
        <f t="shared" si="5"/>
        <v>1.4736558974903401E-6</v>
      </c>
      <c r="I48" s="13">
        <f t="shared" si="1"/>
        <v>4.1384052842609424E-2</v>
      </c>
      <c r="J48" s="11">
        <f>(SUM(G49:$G$79)*$I$1)</f>
        <v>4.2509304735298264E-3</v>
      </c>
      <c r="K48" s="11">
        <f t="shared" si="6"/>
        <v>-7.3682794874517007E-3</v>
      </c>
      <c r="Q48" s="65">
        <v>44</v>
      </c>
      <c r="R48" s="66">
        <f>Inputs!H51</f>
        <v>1.142E-3</v>
      </c>
    </row>
    <row r="49" spans="1:18" x14ac:dyDescent="0.25">
      <c r="A49">
        <f t="shared" si="2"/>
        <v>119</v>
      </c>
      <c r="B49">
        <v>45</v>
      </c>
      <c r="C49" s="12">
        <f t="shared" si="3"/>
        <v>0.4</v>
      </c>
      <c r="D49" s="10">
        <f t="shared" si="4"/>
        <v>0.6</v>
      </c>
      <c r="E49" s="198">
        <f>IF(B49&lt;=$C$2,1,IF(B49=$C$2+1,PRODUCT($D$5:D49),E48*D49))</f>
        <v>4.9660863411131307E-6</v>
      </c>
      <c r="F49" s="10">
        <f t="shared" si="0"/>
        <v>0.17119841184948048</v>
      </c>
      <c r="G49" s="10">
        <f t="shared" si="5"/>
        <v>8.5018609470596531E-7</v>
      </c>
      <c r="I49" s="13">
        <f t="shared" si="1"/>
        <v>2.4830431705565655E-2</v>
      </c>
      <c r="J49" s="11">
        <f>(SUM(G50:$G$79)*$I$1)</f>
        <v>0</v>
      </c>
      <c r="K49" s="11">
        <f t="shared" si="6"/>
        <v>-4.2509304735298264E-3</v>
      </c>
      <c r="Q49" s="65">
        <v>45</v>
      </c>
      <c r="R49" s="66">
        <f>Inputs!H52</f>
        <v>1.219E-3</v>
      </c>
    </row>
    <row r="50" spans="1:18" x14ac:dyDescent="0.25">
      <c r="A50">
        <f t="shared" si="2"/>
        <v>120</v>
      </c>
      <c r="B50">
        <v>46</v>
      </c>
      <c r="C50" s="12">
        <f t="shared" si="3"/>
        <v>1</v>
      </c>
      <c r="D50" s="10">
        <f t="shared" si="4"/>
        <v>0</v>
      </c>
      <c r="E50" s="198">
        <f>IF(B50&lt;=$C$2,1,IF(B50=$C$2+1,PRODUCT($D$5:D50),E49*D50))</f>
        <v>0</v>
      </c>
      <c r="F50" s="10">
        <f t="shared" si="0"/>
        <v>0</v>
      </c>
      <c r="G50" s="10">
        <f t="shared" si="5"/>
        <v>0</v>
      </c>
      <c r="I50" s="13">
        <f t="shared" si="1"/>
        <v>0</v>
      </c>
      <c r="J50" s="11">
        <f>(SUM(G51:$G$79)*$I$1)</f>
        <v>0</v>
      </c>
      <c r="K50" s="11">
        <f t="shared" si="6"/>
        <v>0</v>
      </c>
      <c r="Q50" s="65">
        <v>46</v>
      </c>
      <c r="R50" s="66">
        <f>Inputs!H53</f>
        <v>1.3179999999999999E-3</v>
      </c>
    </row>
    <row r="51" spans="1:18" x14ac:dyDescent="0.25">
      <c r="C51" s="12"/>
      <c r="D51" s="10"/>
      <c r="E51" s="10"/>
      <c r="F51" s="10"/>
      <c r="G51" s="10"/>
      <c r="I51" s="13"/>
      <c r="J51" s="11"/>
      <c r="K51" s="11"/>
      <c r="Q51" s="65">
        <v>47</v>
      </c>
      <c r="R51" s="66">
        <f>Inputs!H54</f>
        <v>1.454E-3</v>
      </c>
    </row>
    <row r="52" spans="1:18" x14ac:dyDescent="0.25">
      <c r="C52" s="12"/>
      <c r="D52" s="10"/>
      <c r="E52" s="10"/>
      <c r="F52" s="10"/>
      <c r="G52" s="10"/>
      <c r="I52" s="13"/>
      <c r="J52" s="11"/>
      <c r="K52" s="11"/>
      <c r="Q52" s="65">
        <v>48</v>
      </c>
      <c r="R52" s="66">
        <f>Inputs!H55</f>
        <v>1.627E-3</v>
      </c>
    </row>
    <row r="53" spans="1:18" x14ac:dyDescent="0.25">
      <c r="C53" s="12"/>
      <c r="D53" s="10"/>
      <c r="E53" s="10"/>
      <c r="F53" s="10"/>
      <c r="G53" s="10"/>
      <c r="I53" s="13"/>
      <c r="J53" s="11"/>
      <c r="K53" s="11"/>
      <c r="Q53" s="65">
        <v>49</v>
      </c>
      <c r="R53" s="66">
        <f>Inputs!H56</f>
        <v>1.8289999999999999E-3</v>
      </c>
    </row>
    <row r="54" spans="1:18" x14ac:dyDescent="0.25">
      <c r="C54" s="12"/>
      <c r="D54" s="10"/>
      <c r="E54" s="10"/>
      <c r="F54" s="10"/>
      <c r="G54" s="10"/>
      <c r="I54" s="13"/>
      <c r="J54" s="11"/>
      <c r="K54" s="11"/>
      <c r="Q54" s="65">
        <v>50</v>
      </c>
      <c r="R54" s="66">
        <f>Inputs!H57</f>
        <v>2.0569999999999998E-3</v>
      </c>
    </row>
    <row r="55" spans="1:18" x14ac:dyDescent="0.25">
      <c r="C55" s="12"/>
      <c r="D55" s="10"/>
      <c r="E55" s="10"/>
      <c r="F55" s="10"/>
      <c r="G55" s="10"/>
      <c r="I55" s="13"/>
      <c r="J55" s="11"/>
      <c r="K55" s="11"/>
      <c r="Q55" s="65">
        <v>51</v>
      </c>
      <c r="R55" s="66">
        <f>Inputs!H58</f>
        <v>2.3019999999999998E-3</v>
      </c>
    </row>
    <row r="56" spans="1:18" x14ac:dyDescent="0.25">
      <c r="C56" s="12"/>
      <c r="D56" s="10"/>
      <c r="E56" s="10"/>
      <c r="F56" s="10"/>
      <c r="G56" s="10"/>
      <c r="I56" s="13"/>
      <c r="J56" s="11"/>
      <c r="K56" s="11"/>
      <c r="Q56" s="65">
        <v>52</v>
      </c>
      <c r="R56" s="66">
        <f>Inputs!H59</f>
        <v>2.545E-3</v>
      </c>
    </row>
    <row r="57" spans="1:18" x14ac:dyDescent="0.25">
      <c r="C57" s="12"/>
      <c r="D57" s="10"/>
      <c r="E57" s="10"/>
      <c r="F57" s="10"/>
      <c r="G57" s="10"/>
      <c r="I57" s="13"/>
      <c r="J57" s="11"/>
      <c r="K57" s="11"/>
      <c r="Q57" s="65">
        <v>53</v>
      </c>
      <c r="R57" s="66">
        <f>Inputs!H60</f>
        <v>2.7789999999999998E-3</v>
      </c>
    </row>
    <row r="58" spans="1:18" x14ac:dyDescent="0.25">
      <c r="C58" s="12"/>
      <c r="D58" s="10"/>
      <c r="E58" s="10"/>
      <c r="F58" s="10"/>
      <c r="G58" s="10"/>
      <c r="I58" s="13"/>
      <c r="J58" s="11"/>
      <c r="K58" s="11"/>
      <c r="Q58" s="65">
        <v>54</v>
      </c>
      <c r="R58" s="66">
        <f>Inputs!H61</f>
        <v>3.0109999999999998E-3</v>
      </c>
    </row>
    <row r="59" spans="1:18" x14ac:dyDescent="0.25">
      <c r="C59" s="12"/>
      <c r="D59" s="10"/>
      <c r="E59" s="10"/>
      <c r="F59" s="10"/>
      <c r="G59" s="10"/>
      <c r="I59" s="13"/>
      <c r="J59" s="11"/>
      <c r="K59" s="11"/>
      <c r="Q59" s="65">
        <v>55</v>
      </c>
      <c r="R59" s="66">
        <f>Inputs!H62</f>
        <v>3.2539999999999999E-3</v>
      </c>
    </row>
    <row r="60" spans="1:18" x14ac:dyDescent="0.25">
      <c r="C60" s="12"/>
      <c r="D60" s="10"/>
      <c r="E60" s="10"/>
      <c r="F60" s="10"/>
      <c r="G60" s="10"/>
      <c r="I60" s="13"/>
      <c r="J60" s="11"/>
      <c r="K60" s="11"/>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c r="E133" s="35"/>
      <c r="F133" s="3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50">
    <cfRule type="cellIs" dxfId="23"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94"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143</v>
      </c>
      <c r="I1" s="3">
        <v>5000</v>
      </c>
      <c r="J1" s="181" t="s">
        <v>173</v>
      </c>
      <c r="L1" s="1"/>
      <c r="M1" s="4"/>
      <c r="N1" s="4"/>
      <c r="O1" s="4"/>
      <c r="P1" s="4"/>
      <c r="Q1" s="64"/>
      <c r="R1" s="28"/>
    </row>
    <row r="2" spans="1:18" ht="15.75" customHeight="1" thickBot="1" x14ac:dyDescent="0.3">
      <c r="B2" t="s">
        <v>227</v>
      </c>
      <c r="C2">
        <v>15</v>
      </c>
      <c r="F2" s="5">
        <f>'Asset and Liability Durations'!N19</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8.3484345189098139</v>
      </c>
      <c r="N3" s="10"/>
      <c r="O3" s="10"/>
      <c r="P3" s="10"/>
      <c r="Q3" s="31"/>
      <c r="R3" s="32"/>
    </row>
    <row r="4" spans="1:18" x14ac:dyDescent="0.25">
      <c r="A4">
        <v>74</v>
      </c>
      <c r="B4">
        <v>0</v>
      </c>
      <c r="C4" s="8"/>
      <c r="D4" s="7"/>
      <c r="E4" s="7"/>
      <c r="F4" s="7"/>
      <c r="G4" s="10">
        <v>1</v>
      </c>
      <c r="J4" s="11">
        <f>(SUM(G5:$G$79)*$I$1)</f>
        <v>61123.995892685911</v>
      </c>
      <c r="Q4" s="65">
        <v>0</v>
      </c>
      <c r="R4" s="66">
        <f>Inputs!H7</f>
        <v>1.6050000000000001E-3</v>
      </c>
    </row>
    <row r="5" spans="1:18" ht="15.75" thickBot="1" x14ac:dyDescent="0.3">
      <c r="A5">
        <f>B5+$A$4</f>
        <v>75</v>
      </c>
      <c r="B5">
        <v>1</v>
      </c>
      <c r="C5" s="12">
        <f>VLOOKUP(A5,$Q$4:$R$124,2,FALSE)</f>
        <v>1.8814999999999998E-2</v>
      </c>
      <c r="D5" s="10">
        <f>1-C5</f>
        <v>0.98118499999999997</v>
      </c>
      <c r="E5" s="198">
        <f>IF(B5&lt;=$C$2,1,IF(B5=$C$2+1,PRODUCT($D$5:D5),E4*D5))</f>
        <v>1</v>
      </c>
      <c r="F5" s="10">
        <f t="shared" ref="F5:F50" si="0">IF(D5=0,0,(1+$F$2)^-B5)</f>
        <v>0.96153846153846145</v>
      </c>
      <c r="G5" s="10">
        <f>F5*E5</f>
        <v>0.96153846153846145</v>
      </c>
      <c r="I5" s="13">
        <f t="shared" ref="I5:I50" si="1">E5*$I$1</f>
        <v>5000</v>
      </c>
      <c r="J5" s="11">
        <f>(SUM(G6:$G$79)*$I$1)</f>
        <v>56316.303584993591</v>
      </c>
      <c r="K5" s="11">
        <f>J5-J4</f>
        <v>-4807.6923076923194</v>
      </c>
      <c r="L5" s="14" t="s">
        <v>16</v>
      </c>
      <c r="M5" s="14" t="s">
        <v>17</v>
      </c>
      <c r="N5" s="14" t="s">
        <v>18</v>
      </c>
      <c r="O5" s="14" t="s">
        <v>47</v>
      </c>
      <c r="Q5" s="65">
        <v>1</v>
      </c>
      <c r="R5" s="66">
        <f>Inputs!H8</f>
        <v>4.0099999999999999E-4</v>
      </c>
    </row>
    <row r="6" spans="1:18" x14ac:dyDescent="0.25">
      <c r="A6">
        <f t="shared" ref="A6:A50" si="2">B6+$A$4</f>
        <v>76</v>
      </c>
      <c r="B6">
        <v>2</v>
      </c>
      <c r="C6" s="12">
        <f t="shared" ref="C6:C50" si="3">VLOOKUP(A6,$Q$4:$R$124,2,FALSE)</f>
        <v>2.1031000000000001E-2</v>
      </c>
      <c r="D6" s="10">
        <f t="shared" ref="D6:D50" si="4">1-C6</f>
        <v>0.97896899999999998</v>
      </c>
      <c r="E6" s="198">
        <f>IF(B6&lt;=$C$2,1,IF(B6=$C$2+1,PRODUCT($D$5:D6),E5*D6))</f>
        <v>1</v>
      </c>
      <c r="F6" s="10">
        <f t="shared" si="0"/>
        <v>0.92455621301775137</v>
      </c>
      <c r="G6" s="10">
        <f t="shared" ref="G6:G50" si="5">F6*E6</f>
        <v>0.92455621301775137</v>
      </c>
      <c r="I6" s="13">
        <f t="shared" si="1"/>
        <v>5000</v>
      </c>
      <c r="J6" s="11">
        <f>(SUM(G7:$G$79)*$I$1)</f>
        <v>51693.522519904836</v>
      </c>
      <c r="K6" s="11">
        <f t="shared" ref="K6:K50" si="6">J6-J5</f>
        <v>-4622.781065088755</v>
      </c>
      <c r="L6" s="14">
        <v>2</v>
      </c>
      <c r="M6" s="54" t="s">
        <v>44</v>
      </c>
      <c r="N6" s="15">
        <f>SUM(I5:I7)</f>
        <v>15000</v>
      </c>
      <c r="O6" s="16">
        <f>N6/SUM($N$6:$N$9)</f>
        <v>0.17277035232137528</v>
      </c>
      <c r="Q6" s="65">
        <v>2</v>
      </c>
      <c r="R6" s="66">
        <f>Inputs!H9</f>
        <v>2.7500000000000002E-4</v>
      </c>
    </row>
    <row r="7" spans="1:18" x14ac:dyDescent="0.25">
      <c r="A7">
        <f t="shared" si="2"/>
        <v>77</v>
      </c>
      <c r="B7">
        <v>3</v>
      </c>
      <c r="C7" s="12">
        <f t="shared" si="3"/>
        <v>2.3539999999999998E-2</v>
      </c>
      <c r="D7" s="10">
        <f t="shared" si="4"/>
        <v>0.97645999999999999</v>
      </c>
      <c r="E7" s="198">
        <f>IF(B7&lt;=$C$2,1,IF(B7=$C$2+1,PRODUCT($D$5:D7),E6*D7))</f>
        <v>1</v>
      </c>
      <c r="F7" s="10">
        <f t="shared" si="0"/>
        <v>0.88899635867091487</v>
      </c>
      <c r="G7" s="10">
        <f t="shared" si="5"/>
        <v>0.88899635867091487</v>
      </c>
      <c r="I7" s="13">
        <f t="shared" si="1"/>
        <v>5000</v>
      </c>
      <c r="J7" s="11">
        <f>(SUM(G8:$G$79)*$I$1)</f>
        <v>47248.540726550258</v>
      </c>
      <c r="K7" s="11">
        <f t="shared" si="6"/>
        <v>-4444.9817933545783</v>
      </c>
      <c r="L7" s="14">
        <v>5</v>
      </c>
      <c r="M7" s="19" t="s">
        <v>45</v>
      </c>
      <c r="N7" s="17">
        <f>SUM(I8:I11)</f>
        <v>20000</v>
      </c>
      <c r="O7" s="18">
        <f>N7/SUM($N$6:$N$9)</f>
        <v>0.23036046976183372</v>
      </c>
      <c r="Q7" s="65">
        <v>3</v>
      </c>
      <c r="R7" s="66">
        <f>Inputs!H10</f>
        <v>2.2900000000000001E-4</v>
      </c>
    </row>
    <row r="8" spans="1:18" x14ac:dyDescent="0.25">
      <c r="A8">
        <f t="shared" si="2"/>
        <v>78</v>
      </c>
      <c r="B8">
        <v>4</v>
      </c>
      <c r="C8" s="12">
        <f t="shared" si="3"/>
        <v>2.6374999999999999E-2</v>
      </c>
      <c r="D8" s="10">
        <f t="shared" si="4"/>
        <v>0.97362499999999996</v>
      </c>
      <c r="E8" s="198">
        <f>IF(B8&lt;=$C$2,1,IF(B8=$C$2+1,PRODUCT($D$5:D8),E7*D8))</f>
        <v>1</v>
      </c>
      <c r="F8" s="10">
        <f t="shared" si="0"/>
        <v>0.85480419102972571</v>
      </c>
      <c r="G8" s="10">
        <f>F8*E8</f>
        <v>0.85480419102972571</v>
      </c>
      <c r="I8" s="13">
        <f t="shared" si="1"/>
        <v>5000</v>
      </c>
      <c r="J8" s="11">
        <f>(SUM(G9:$G$79)*$I$1)</f>
        <v>42974.519771401632</v>
      </c>
      <c r="K8" s="11">
        <f t="shared" si="6"/>
        <v>-4274.0209551486259</v>
      </c>
      <c r="L8" s="14">
        <v>10</v>
      </c>
      <c r="M8" s="19" t="s">
        <v>46</v>
      </c>
      <c r="N8" s="17">
        <f>SUM(I12:I19)</f>
        <v>40000</v>
      </c>
      <c r="O8" s="18">
        <f>N8/SUM($N$6:$N$9)</f>
        <v>0.46072093952366744</v>
      </c>
      <c r="Q8" s="65">
        <v>4</v>
      </c>
      <c r="R8" s="66">
        <f>Inputs!H11</f>
        <v>1.74E-4</v>
      </c>
    </row>
    <row r="9" spans="1:18" ht="15.75" thickBot="1" x14ac:dyDescent="0.3">
      <c r="A9">
        <f t="shared" si="2"/>
        <v>79</v>
      </c>
      <c r="B9">
        <v>5</v>
      </c>
      <c r="C9" s="12">
        <f t="shared" si="3"/>
        <v>2.9572000000000001E-2</v>
      </c>
      <c r="D9" s="10">
        <f t="shared" si="4"/>
        <v>0.97042799999999996</v>
      </c>
      <c r="E9" s="198">
        <f>IF(B9&lt;=$C$2,1,IF(B9=$C$2+1,PRODUCT($D$5:D9),E8*D9))</f>
        <v>1</v>
      </c>
      <c r="F9" s="10">
        <f t="shared" si="0"/>
        <v>0.82192710675935154</v>
      </c>
      <c r="G9" s="10">
        <f t="shared" si="5"/>
        <v>0.82192710675935154</v>
      </c>
      <c r="I9" s="13">
        <f t="shared" si="1"/>
        <v>5000</v>
      </c>
      <c r="J9" s="11">
        <f>(SUM(G10:$G$79)*$I$1)</f>
        <v>38864.884237604863</v>
      </c>
      <c r="K9" s="11">
        <f t="shared" si="6"/>
        <v>-4109.6355337967689</v>
      </c>
      <c r="L9" s="14">
        <v>30</v>
      </c>
      <c r="M9" s="20" t="s">
        <v>48</v>
      </c>
      <c r="N9" s="21">
        <f>SUM(I20:I70)</f>
        <v>11820.451532668358</v>
      </c>
      <c r="O9" s="22">
        <f>N9/SUM($N$6:$N$9)</f>
        <v>0.13614823839312351</v>
      </c>
      <c r="Q9" s="65">
        <v>5</v>
      </c>
      <c r="R9" s="66">
        <f>Inputs!H12</f>
        <v>1.6799999999999999E-4</v>
      </c>
    </row>
    <row r="10" spans="1:18" x14ac:dyDescent="0.25">
      <c r="A10">
        <f t="shared" si="2"/>
        <v>80</v>
      </c>
      <c r="B10">
        <v>6</v>
      </c>
      <c r="C10" s="12">
        <f t="shared" si="3"/>
        <v>3.3234E-2</v>
      </c>
      <c r="D10" s="10">
        <f t="shared" si="4"/>
        <v>0.96676600000000001</v>
      </c>
      <c r="E10" s="198">
        <f>IF(B10&lt;=$C$2,1,IF(B10=$C$2+1,PRODUCT($D$5:D10),E9*D10))</f>
        <v>1</v>
      </c>
      <c r="F10" s="10">
        <f t="shared" si="0"/>
        <v>0.79031452573014571</v>
      </c>
      <c r="G10" s="10">
        <f t="shared" si="5"/>
        <v>0.79031452573014571</v>
      </c>
      <c r="I10" s="13">
        <f t="shared" si="1"/>
        <v>5000</v>
      </c>
      <c r="J10" s="11">
        <f>(SUM(G11:$G$79)*$I$1)</f>
        <v>34913.311608954136</v>
      </c>
      <c r="K10" s="11">
        <f t="shared" si="6"/>
        <v>-3951.572628650727</v>
      </c>
      <c r="L10" s="53">
        <f>+SUMPRODUCT(L6:L9,O6:O9)</f>
        <v>10.188999600482299</v>
      </c>
      <c r="O10" s="23">
        <f>SUM(O6:O9)</f>
        <v>0.99999999999999989</v>
      </c>
      <c r="Q10" s="65">
        <v>6</v>
      </c>
      <c r="R10" s="66">
        <f>Inputs!H13</f>
        <v>1.65E-4</v>
      </c>
    </row>
    <row r="11" spans="1:18" x14ac:dyDescent="0.25">
      <c r="A11">
        <f t="shared" si="2"/>
        <v>81</v>
      </c>
      <c r="B11">
        <v>7</v>
      </c>
      <c r="C11" s="12">
        <f t="shared" si="3"/>
        <v>3.7532999999999997E-2</v>
      </c>
      <c r="D11" s="10">
        <f t="shared" si="4"/>
        <v>0.96246699999999996</v>
      </c>
      <c r="E11" s="198">
        <f>IF(B11&lt;=$C$2,1,IF(B11=$C$2+1,PRODUCT($D$5:D11),E10*D11))</f>
        <v>1</v>
      </c>
      <c r="F11" s="10">
        <f t="shared" si="0"/>
        <v>0.75991781320206331</v>
      </c>
      <c r="G11" s="10">
        <f t="shared" si="5"/>
        <v>0.75991781320206331</v>
      </c>
      <c r="I11" s="13">
        <f t="shared" si="1"/>
        <v>5000</v>
      </c>
      <c r="J11" s="11">
        <f>(SUM(G12:$G$79)*$I$1)</f>
        <v>31113.722542943819</v>
      </c>
      <c r="K11" s="11">
        <f t="shared" si="6"/>
        <v>-3799.5890660103178</v>
      </c>
      <c r="Q11" s="65">
        <v>7</v>
      </c>
      <c r="R11" s="66">
        <f>Inputs!H14</f>
        <v>1.5899999999999999E-4</v>
      </c>
    </row>
    <row r="12" spans="1:18" x14ac:dyDescent="0.25">
      <c r="A12">
        <f t="shared" si="2"/>
        <v>82</v>
      </c>
      <c r="B12">
        <v>8</v>
      </c>
      <c r="C12" s="12">
        <f t="shared" si="3"/>
        <v>4.2261E-2</v>
      </c>
      <c r="D12" s="10">
        <f t="shared" si="4"/>
        <v>0.95773900000000001</v>
      </c>
      <c r="E12" s="198">
        <f>IF(B12&lt;=$C$2,1,IF(B12=$C$2+1,PRODUCT($D$5:D12),E11*D12))</f>
        <v>1</v>
      </c>
      <c r="F12" s="10">
        <f t="shared" si="0"/>
        <v>0.73069020500198378</v>
      </c>
      <c r="G12" s="10">
        <f t="shared" si="5"/>
        <v>0.73069020500198378</v>
      </c>
      <c r="I12" s="13">
        <f t="shared" si="1"/>
        <v>5000</v>
      </c>
      <c r="J12" s="11">
        <f>(SUM(G13:$G$79)*$I$1)</f>
        <v>27460.271517933899</v>
      </c>
      <c r="K12" s="11">
        <f t="shared" si="6"/>
        <v>-3653.4510250099192</v>
      </c>
      <c r="Q12" s="65">
        <v>8</v>
      </c>
      <c r="R12" s="66">
        <f>Inputs!H15</f>
        <v>1.4300000000000001E-4</v>
      </c>
    </row>
    <row r="13" spans="1:18" x14ac:dyDescent="0.25">
      <c r="A13">
        <f t="shared" si="2"/>
        <v>83</v>
      </c>
      <c r="B13">
        <v>9</v>
      </c>
      <c r="C13" s="12">
        <f t="shared" si="3"/>
        <v>4.7440999999999997E-2</v>
      </c>
      <c r="D13" s="10">
        <f t="shared" si="4"/>
        <v>0.95255900000000004</v>
      </c>
      <c r="E13" s="198">
        <f>IF(B13&lt;=$C$2,1,IF(B13=$C$2+1,PRODUCT($D$5:D13),E12*D13))</f>
        <v>1</v>
      </c>
      <c r="F13" s="10">
        <f t="shared" si="0"/>
        <v>0.70258673557883045</v>
      </c>
      <c r="G13" s="10">
        <f t="shared" si="5"/>
        <v>0.70258673557883045</v>
      </c>
      <c r="I13" s="13">
        <f t="shared" si="1"/>
        <v>5000</v>
      </c>
      <c r="J13" s="11">
        <f>(SUM(G14:$G$79)*$I$1)</f>
        <v>23947.337840039741</v>
      </c>
      <c r="K13" s="11">
        <f t="shared" si="6"/>
        <v>-3512.9336778941579</v>
      </c>
      <c r="Q13" s="65">
        <v>9</v>
      </c>
      <c r="R13" s="66">
        <f>Inputs!H16</f>
        <v>1.2899999999999999E-4</v>
      </c>
    </row>
    <row r="14" spans="1:18" x14ac:dyDescent="0.25">
      <c r="A14">
        <f t="shared" si="2"/>
        <v>84</v>
      </c>
      <c r="B14">
        <v>10</v>
      </c>
      <c r="C14" s="12">
        <f t="shared" si="3"/>
        <v>5.3233000000000003E-2</v>
      </c>
      <c r="D14" s="10">
        <f t="shared" si="4"/>
        <v>0.94676700000000003</v>
      </c>
      <c r="E14" s="198">
        <f>IF(B14&lt;=$C$2,1,IF(B14=$C$2+1,PRODUCT($D$5:D14),E13*D14))</f>
        <v>1</v>
      </c>
      <c r="F14" s="10">
        <f t="shared" si="0"/>
        <v>0.67556416882579851</v>
      </c>
      <c r="G14" s="10">
        <f t="shared" si="5"/>
        <v>0.67556416882579851</v>
      </c>
      <c r="I14" s="13">
        <f t="shared" si="1"/>
        <v>5000</v>
      </c>
      <c r="J14" s="11">
        <f>(SUM(G15:$G$79)*$I$1)</f>
        <v>20569.516995910752</v>
      </c>
      <c r="K14" s="11">
        <f t="shared" si="6"/>
        <v>-3377.8208441289898</v>
      </c>
      <c r="Q14" s="65">
        <v>10</v>
      </c>
      <c r="R14" s="66">
        <f>Inputs!H17</f>
        <v>1.13E-4</v>
      </c>
    </row>
    <row r="15" spans="1:18" x14ac:dyDescent="0.25">
      <c r="A15">
        <f t="shared" si="2"/>
        <v>85</v>
      </c>
      <c r="B15">
        <v>11</v>
      </c>
      <c r="C15" s="12">
        <f t="shared" si="3"/>
        <v>5.9854999999999998E-2</v>
      </c>
      <c r="D15" s="10">
        <f t="shared" si="4"/>
        <v>0.94014500000000001</v>
      </c>
      <c r="E15" s="198">
        <f>IF(B15&lt;=$C$2,1,IF(B15=$C$2+1,PRODUCT($D$5:D15),E14*D15))</f>
        <v>1</v>
      </c>
      <c r="F15" s="10">
        <f t="shared" si="0"/>
        <v>0.6495809315632679</v>
      </c>
      <c r="G15" s="10">
        <f t="shared" si="5"/>
        <v>0.6495809315632679</v>
      </c>
      <c r="I15" s="13">
        <f t="shared" si="1"/>
        <v>5000</v>
      </c>
      <c r="J15" s="11">
        <f>(SUM(G16:$G$79)*$I$1)</f>
        <v>17321.612338094408</v>
      </c>
      <c r="K15" s="11">
        <f t="shared" si="6"/>
        <v>-3247.9046578163434</v>
      </c>
      <c r="Q15" s="65">
        <v>11</v>
      </c>
      <c r="R15" s="66">
        <f>Inputs!H18</f>
        <v>1.11E-4</v>
      </c>
    </row>
    <row r="16" spans="1:18" x14ac:dyDescent="0.25">
      <c r="A16">
        <f t="shared" si="2"/>
        <v>86</v>
      </c>
      <c r="B16">
        <v>12</v>
      </c>
      <c r="C16" s="12">
        <f t="shared" si="3"/>
        <v>6.7514000000000005E-2</v>
      </c>
      <c r="D16" s="10">
        <f t="shared" si="4"/>
        <v>0.93248600000000004</v>
      </c>
      <c r="E16" s="198">
        <f>IF(B16&lt;=$C$2,1,IF(B16=$C$2+1,PRODUCT($D$5:D16),E15*D16))</f>
        <v>1</v>
      </c>
      <c r="F16" s="10">
        <f t="shared" si="0"/>
        <v>0.62459704958006512</v>
      </c>
      <c r="G16" s="10">
        <f t="shared" si="5"/>
        <v>0.62459704958006512</v>
      </c>
      <c r="I16" s="13">
        <f t="shared" si="1"/>
        <v>5000</v>
      </c>
      <c r="J16" s="11">
        <f>(SUM(G17:$G$79)*$I$1)</f>
        <v>14198.627090194082</v>
      </c>
      <c r="K16" s="11">
        <f t="shared" si="6"/>
        <v>-3122.9852479003257</v>
      </c>
      <c r="Q16" s="65">
        <v>12</v>
      </c>
      <c r="R16" s="66">
        <f>Inputs!H19</f>
        <v>1.3200000000000001E-4</v>
      </c>
    </row>
    <row r="17" spans="1:18" x14ac:dyDescent="0.25">
      <c r="A17">
        <f t="shared" si="2"/>
        <v>87</v>
      </c>
      <c r="B17">
        <v>13</v>
      </c>
      <c r="C17" s="12">
        <f t="shared" si="3"/>
        <v>7.6340000000000005E-2</v>
      </c>
      <c r="D17" s="10">
        <f t="shared" si="4"/>
        <v>0.92366000000000004</v>
      </c>
      <c r="E17" s="198">
        <f>IF(B17&lt;=$C$2,1,IF(B17=$C$2+1,PRODUCT($D$5:D17),E16*D17))</f>
        <v>1</v>
      </c>
      <c r="F17" s="10">
        <f t="shared" si="0"/>
        <v>0.600574086134678</v>
      </c>
      <c r="G17" s="10">
        <f t="shared" si="5"/>
        <v>0.600574086134678</v>
      </c>
      <c r="I17" s="13">
        <f t="shared" si="1"/>
        <v>5000</v>
      </c>
      <c r="J17" s="11">
        <f>(SUM(G18:$G$79)*$I$1)</f>
        <v>11195.756659520692</v>
      </c>
      <c r="K17" s="11">
        <f t="shared" si="6"/>
        <v>-3002.8704306733907</v>
      </c>
      <c r="Q17" s="65">
        <v>13</v>
      </c>
      <c r="R17" s="66">
        <f>Inputs!H20</f>
        <v>1.6899999999999999E-4</v>
      </c>
    </row>
    <row r="18" spans="1:18" x14ac:dyDescent="0.25">
      <c r="A18">
        <f t="shared" si="2"/>
        <v>88</v>
      </c>
      <c r="B18">
        <v>14</v>
      </c>
      <c r="C18" s="12">
        <f t="shared" si="3"/>
        <v>8.6388000000000006E-2</v>
      </c>
      <c r="D18" s="10">
        <f t="shared" si="4"/>
        <v>0.91361199999999998</v>
      </c>
      <c r="E18" s="198">
        <f>IF(B18&lt;=$C$2,1,IF(B18=$C$2+1,PRODUCT($D$5:D18),E17*D18))</f>
        <v>1</v>
      </c>
      <c r="F18" s="10">
        <f t="shared" si="0"/>
        <v>0.57747508282180582</v>
      </c>
      <c r="G18" s="10">
        <f t="shared" si="5"/>
        <v>0.57747508282180582</v>
      </c>
      <c r="I18" s="13">
        <f t="shared" si="1"/>
        <v>5000</v>
      </c>
      <c r="J18" s="11">
        <f>(SUM(G19:$G$79)*$I$1)</f>
        <v>8308.3812454116651</v>
      </c>
      <c r="K18" s="11">
        <f t="shared" si="6"/>
        <v>-2887.3754141090267</v>
      </c>
      <c r="Q18" s="65">
        <v>14</v>
      </c>
      <c r="R18" s="66">
        <f>Inputs!H21</f>
        <v>2.13E-4</v>
      </c>
    </row>
    <row r="19" spans="1:18" x14ac:dyDescent="0.25">
      <c r="A19">
        <f t="shared" si="2"/>
        <v>89</v>
      </c>
      <c r="B19">
        <v>15</v>
      </c>
      <c r="C19" s="12">
        <f t="shared" si="3"/>
        <v>9.7633999999999999E-2</v>
      </c>
      <c r="D19" s="10">
        <f t="shared" si="4"/>
        <v>0.902366</v>
      </c>
      <c r="E19" s="198">
        <f>IF(B19&lt;=$C$2,1,IF(B19=$C$2+1,PRODUCT($D$5:D19),E18*D19))</f>
        <v>1</v>
      </c>
      <c r="F19" s="10">
        <f t="shared" si="0"/>
        <v>0.55526450271327477</v>
      </c>
      <c r="G19" s="10">
        <f t="shared" si="5"/>
        <v>0.55526450271327477</v>
      </c>
      <c r="I19" s="13">
        <f t="shared" si="1"/>
        <v>5000</v>
      </c>
      <c r="J19" s="11">
        <f>(SUM(G20:$G$79)*$I$1)</f>
        <v>5532.0587318452908</v>
      </c>
      <c r="K19" s="11">
        <f t="shared" si="6"/>
        <v>-2776.3225135663743</v>
      </c>
      <c r="Q19" s="65">
        <v>15</v>
      </c>
      <c r="R19" s="66">
        <f>Inputs!H22</f>
        <v>2.5399999999999999E-4</v>
      </c>
    </row>
    <row r="20" spans="1:18" x14ac:dyDescent="0.25">
      <c r="A20">
        <f t="shared" si="2"/>
        <v>90</v>
      </c>
      <c r="B20">
        <v>16</v>
      </c>
      <c r="C20" s="12">
        <f t="shared" si="3"/>
        <v>0.10999299999999999</v>
      </c>
      <c r="D20" s="10">
        <f t="shared" si="4"/>
        <v>0.89000699999999999</v>
      </c>
      <c r="E20" s="198">
        <f>IF(B20&lt;=$C$2,1,IF(B20=$C$2+1,PRODUCT($D$5:D20),E19*D20))</f>
        <v>0.42316131385920525</v>
      </c>
      <c r="F20" s="10">
        <f t="shared" si="0"/>
        <v>0.53390817568584104</v>
      </c>
      <c r="G20" s="10">
        <f t="shared" si="5"/>
        <v>0.22592928510339189</v>
      </c>
      <c r="I20" s="13">
        <f t="shared" si="1"/>
        <v>2115.8065692960263</v>
      </c>
      <c r="J20" s="11">
        <f>(SUM(G21:$G$79)*$I$1)</f>
        <v>4402.4123063283341</v>
      </c>
      <c r="K20" s="11">
        <f t="shared" si="6"/>
        <v>-1129.6464255169567</v>
      </c>
      <c r="Q20" s="65">
        <v>16</v>
      </c>
      <c r="R20" s="66">
        <f>Inputs!H23</f>
        <v>2.9300000000000002E-4</v>
      </c>
    </row>
    <row r="21" spans="1:18" x14ac:dyDescent="0.25">
      <c r="A21">
        <f t="shared" si="2"/>
        <v>91</v>
      </c>
      <c r="B21">
        <v>17</v>
      </c>
      <c r="C21" s="12">
        <f t="shared" si="3"/>
        <v>0.12311900000000001</v>
      </c>
      <c r="D21" s="10">
        <f t="shared" si="4"/>
        <v>0.87688100000000002</v>
      </c>
      <c r="E21" s="198">
        <f>IF(B21&lt;=$C$2,1,IF(B21=$C$2+1,PRODUCT($D$5:D21),E20*D21))</f>
        <v>0.37106211605817374</v>
      </c>
      <c r="F21" s="10">
        <f t="shared" si="0"/>
        <v>0.51337324585177024</v>
      </c>
      <c r="G21" s="10">
        <f t="shared" si="5"/>
        <v>0.19049336293341093</v>
      </c>
      <c r="I21" s="13">
        <f t="shared" si="1"/>
        <v>1855.3105802908688</v>
      </c>
      <c r="J21" s="11">
        <f>(SUM(G22:$G$79)*$I$1)</f>
        <v>3449.9454916612804</v>
      </c>
      <c r="K21" s="11">
        <f t="shared" si="6"/>
        <v>-952.46681466705377</v>
      </c>
      <c r="Q21" s="65">
        <v>17</v>
      </c>
      <c r="R21" s="66">
        <f>Inputs!H24</f>
        <v>3.28E-4</v>
      </c>
    </row>
    <row r="22" spans="1:18" x14ac:dyDescent="0.25">
      <c r="A22">
        <f t="shared" si="2"/>
        <v>92</v>
      </c>
      <c r="B22">
        <v>18</v>
      </c>
      <c r="C22" s="12">
        <f t="shared" si="3"/>
        <v>0.13716800000000001</v>
      </c>
      <c r="D22" s="10">
        <f t="shared" si="4"/>
        <v>0.86283200000000004</v>
      </c>
      <c r="E22" s="198">
        <f>IF(B22&lt;=$C$2,1,IF(B22=$C$2+1,PRODUCT($D$5:D22),E21*D22))</f>
        <v>0.32016426772270618</v>
      </c>
      <c r="F22" s="10">
        <f t="shared" si="0"/>
        <v>0.49362812101131748</v>
      </c>
      <c r="G22" s="10">
        <f t="shared" si="5"/>
        <v>0.15804208589092386</v>
      </c>
      <c r="I22" s="13">
        <f t="shared" si="1"/>
        <v>1600.8213386135308</v>
      </c>
      <c r="J22" s="11">
        <f>(SUM(G23:$G$79)*$I$1)</f>
        <v>2659.735062206661</v>
      </c>
      <c r="K22" s="11">
        <f t="shared" si="6"/>
        <v>-790.21042945461932</v>
      </c>
      <c r="Q22" s="65">
        <v>18</v>
      </c>
      <c r="R22" s="66">
        <f>Inputs!H25</f>
        <v>3.59E-4</v>
      </c>
    </row>
    <row r="23" spans="1:18" x14ac:dyDescent="0.25">
      <c r="A23">
        <f t="shared" si="2"/>
        <v>93</v>
      </c>
      <c r="B23">
        <v>19</v>
      </c>
      <c r="C23" s="12">
        <f t="shared" si="3"/>
        <v>0.152171</v>
      </c>
      <c r="D23" s="10">
        <f t="shared" si="4"/>
        <v>0.84782899999999994</v>
      </c>
      <c r="E23" s="198">
        <f>IF(B23&lt;=$C$2,1,IF(B23=$C$2+1,PRODUCT($D$5:D23),E22*D23))</f>
        <v>0.27144455093907421</v>
      </c>
      <c r="F23" s="10">
        <f t="shared" si="0"/>
        <v>0.47464242404934376</v>
      </c>
      <c r="G23" s="10">
        <f t="shared" si="5"/>
        <v>0.12883909965270776</v>
      </c>
      <c r="I23" s="13">
        <f t="shared" si="1"/>
        <v>1357.2227546953711</v>
      </c>
      <c r="J23" s="11">
        <f>(SUM(G24:$G$79)*$I$1)</f>
        <v>2015.5395639431222</v>
      </c>
      <c r="K23" s="11">
        <f t="shared" si="6"/>
        <v>-644.19549826353887</v>
      </c>
      <c r="Q23" s="65">
        <v>19</v>
      </c>
      <c r="R23" s="66">
        <f>Inputs!H26</f>
        <v>3.8699999999999997E-4</v>
      </c>
    </row>
    <row r="24" spans="1:18" x14ac:dyDescent="0.25">
      <c r="A24">
        <f t="shared" si="2"/>
        <v>94</v>
      </c>
      <c r="B24">
        <v>20</v>
      </c>
      <c r="C24" s="12">
        <f t="shared" si="3"/>
        <v>0.16819400000000001</v>
      </c>
      <c r="D24" s="10">
        <f t="shared" si="4"/>
        <v>0.83180600000000005</v>
      </c>
      <c r="E24" s="198">
        <f>IF(B24&lt;=$C$2,1,IF(B24=$C$2+1,PRODUCT($D$5:D24),E23*D24))</f>
        <v>0.22578920613842757</v>
      </c>
      <c r="F24" s="10">
        <f t="shared" si="0"/>
        <v>0.45638694620129205</v>
      </c>
      <c r="G24" s="10">
        <f t="shared" si="5"/>
        <v>0.10304724627473098</v>
      </c>
      <c r="I24" s="13">
        <f t="shared" si="1"/>
        <v>1128.9460306921378</v>
      </c>
      <c r="J24" s="11">
        <f>(SUM(G25:$G$79)*$I$1)</f>
        <v>1500.3033325694673</v>
      </c>
      <c r="K24" s="11">
        <f t="shared" si="6"/>
        <v>-515.23623137365485</v>
      </c>
      <c r="Q24" s="65">
        <v>20</v>
      </c>
      <c r="R24" s="66">
        <f>Inputs!H27</f>
        <v>4.1399999999999998E-4</v>
      </c>
    </row>
    <row r="25" spans="1:18" x14ac:dyDescent="0.25">
      <c r="A25">
        <f t="shared" si="2"/>
        <v>95</v>
      </c>
      <c r="B25">
        <v>21</v>
      </c>
      <c r="C25" s="12">
        <f t="shared" si="3"/>
        <v>0.18526000000000001</v>
      </c>
      <c r="D25" s="10">
        <f t="shared" si="4"/>
        <v>0.81474000000000002</v>
      </c>
      <c r="E25" s="198">
        <f>IF(B25&lt;=$C$2,1,IF(B25=$C$2+1,PRODUCT($D$5:D25),E24*D25))</f>
        <v>0.18395949780922249</v>
      </c>
      <c r="F25" s="10">
        <f t="shared" si="0"/>
        <v>0.43883360211662686</v>
      </c>
      <c r="G25" s="10">
        <f t="shared" si="5"/>
        <v>8.0727609067186831E-2</v>
      </c>
      <c r="I25" s="13">
        <f t="shared" si="1"/>
        <v>919.79748904611245</v>
      </c>
      <c r="J25" s="11">
        <f>(SUM(G26:$G$79)*$I$1)</f>
        <v>1096.6652872335328</v>
      </c>
      <c r="K25" s="11">
        <f t="shared" si="6"/>
        <v>-403.63804533593452</v>
      </c>
      <c r="Q25" s="65">
        <v>21</v>
      </c>
      <c r="R25" s="66">
        <f>Inputs!H28</f>
        <v>4.4299999999999998E-4</v>
      </c>
    </row>
    <row r="26" spans="1:18" x14ac:dyDescent="0.25">
      <c r="A26">
        <f t="shared" si="2"/>
        <v>96</v>
      </c>
      <c r="B26">
        <v>22</v>
      </c>
      <c r="C26" s="12">
        <f t="shared" si="3"/>
        <v>0.197322</v>
      </c>
      <c r="D26" s="10">
        <f t="shared" si="4"/>
        <v>0.802678</v>
      </c>
      <c r="E26" s="198">
        <f>IF(B26&lt;=$C$2,1,IF(B26=$C$2+1,PRODUCT($D$5:D26),E25*D26))</f>
        <v>0.14766024178251108</v>
      </c>
      <c r="F26" s="10">
        <f t="shared" si="0"/>
        <v>0.42195538665060278</v>
      </c>
      <c r="G26" s="10">
        <f t="shared" si="5"/>
        <v>6.2306034414260955E-2</v>
      </c>
      <c r="I26" s="13">
        <f t="shared" si="1"/>
        <v>738.30120891255535</v>
      </c>
      <c r="J26" s="11">
        <f>(SUM(G27:$G$79)*$I$1)</f>
        <v>785.13511516222798</v>
      </c>
      <c r="K26" s="11">
        <f t="shared" si="6"/>
        <v>-311.53017207130483</v>
      </c>
      <c r="Q26" s="65">
        <v>22</v>
      </c>
      <c r="R26" s="66">
        <f>Inputs!H29</f>
        <v>4.73E-4</v>
      </c>
    </row>
    <row r="27" spans="1:18" x14ac:dyDescent="0.25">
      <c r="A27">
        <f t="shared" si="2"/>
        <v>97</v>
      </c>
      <c r="B27">
        <v>23</v>
      </c>
      <c r="C27" s="12">
        <f t="shared" si="3"/>
        <v>0.214751</v>
      </c>
      <c r="D27" s="10">
        <f t="shared" si="4"/>
        <v>0.78524899999999997</v>
      </c>
      <c r="E27" s="198">
        <f>IF(B27&lt;=$C$2,1,IF(B27=$C$2+1,PRODUCT($D$5:D27),E26*D27))</f>
        <v>0.11595005719947504</v>
      </c>
      <c r="F27" s="10">
        <f t="shared" si="0"/>
        <v>0.40572633331788732</v>
      </c>
      <c r="G27" s="10">
        <f t="shared" si="5"/>
        <v>4.7043991555542314E-2</v>
      </c>
      <c r="I27" s="13">
        <f t="shared" si="1"/>
        <v>579.75028599737516</v>
      </c>
      <c r="J27" s="11">
        <f>(SUM(G28:$G$79)*$I$1)</f>
        <v>549.91515738451642</v>
      </c>
      <c r="K27" s="11">
        <f t="shared" si="6"/>
        <v>-235.21995777771156</v>
      </c>
      <c r="Q27" s="65">
        <v>23</v>
      </c>
      <c r="R27" s="66">
        <f>Inputs!H30</f>
        <v>5.13E-4</v>
      </c>
    </row>
    <row r="28" spans="1:18" x14ac:dyDescent="0.25">
      <c r="A28">
        <f t="shared" si="2"/>
        <v>98</v>
      </c>
      <c r="B28">
        <v>24</v>
      </c>
      <c r="C28" s="12">
        <f t="shared" si="3"/>
        <v>0.23250699999999999</v>
      </c>
      <c r="D28" s="10">
        <f t="shared" si="4"/>
        <v>0.76749299999999998</v>
      </c>
      <c r="E28" s="198">
        <f>IF(B28&lt;=$C$2,1,IF(B28=$C$2+1,PRODUCT($D$5:D28),E27*D28))</f>
        <v>8.8990857250196703E-2</v>
      </c>
      <c r="F28" s="10">
        <f t="shared" si="0"/>
        <v>0.39012147434412242</v>
      </c>
      <c r="G28" s="10">
        <f t="shared" si="5"/>
        <v>3.4717244433594072E-2</v>
      </c>
      <c r="I28" s="13">
        <f t="shared" si="1"/>
        <v>444.9542862509835</v>
      </c>
      <c r="J28" s="11">
        <f>(SUM(G29:$G$79)*$I$1)</f>
        <v>376.32893521654614</v>
      </c>
      <c r="K28" s="11">
        <f t="shared" si="6"/>
        <v>-173.58622216797028</v>
      </c>
      <c r="Q28" s="65">
        <v>24</v>
      </c>
      <c r="R28" s="66">
        <f>Inputs!H31</f>
        <v>5.5400000000000002E-4</v>
      </c>
    </row>
    <row r="29" spans="1:18" x14ac:dyDescent="0.25">
      <c r="A29">
        <f t="shared" si="2"/>
        <v>99</v>
      </c>
      <c r="B29">
        <v>25</v>
      </c>
      <c r="C29" s="12">
        <f t="shared" si="3"/>
        <v>0.25039699999999998</v>
      </c>
      <c r="D29" s="10">
        <f t="shared" si="4"/>
        <v>0.74960300000000002</v>
      </c>
      <c r="E29" s="198">
        <f>IF(B29&lt;=$C$2,1,IF(B29=$C$2+1,PRODUCT($D$5:D29),E28*D29))</f>
        <v>6.6707813567319196E-2</v>
      </c>
      <c r="F29" s="10">
        <f t="shared" si="0"/>
        <v>0.37511680225396377</v>
      </c>
      <c r="G29" s="10">
        <f t="shared" si="5"/>
        <v>2.5023221710726355E-2</v>
      </c>
      <c r="I29" s="13">
        <f t="shared" si="1"/>
        <v>333.53906783659596</v>
      </c>
      <c r="J29" s="11">
        <f>(SUM(G30:$G$79)*$I$1)</f>
        <v>251.21282666291441</v>
      </c>
      <c r="K29" s="11">
        <f t="shared" si="6"/>
        <v>-125.11610855363173</v>
      </c>
      <c r="Q29" s="65">
        <v>25</v>
      </c>
      <c r="R29" s="66">
        <f>Inputs!H32</f>
        <v>6.02E-4</v>
      </c>
    </row>
    <row r="30" spans="1:18" x14ac:dyDescent="0.25">
      <c r="A30">
        <f t="shared" si="2"/>
        <v>100</v>
      </c>
      <c r="B30">
        <v>26</v>
      </c>
      <c r="C30" s="12">
        <f t="shared" si="3"/>
        <v>0.26860699999999998</v>
      </c>
      <c r="D30" s="10">
        <f t="shared" si="4"/>
        <v>0.73139299999999996</v>
      </c>
      <c r="E30" s="198">
        <f>IF(B30&lt;=$C$2,1,IF(B30=$C$2+1,PRODUCT($D$5:D30),E29*D30))</f>
        <v>4.8789627888442287E-2</v>
      </c>
      <c r="F30" s="10">
        <f t="shared" si="0"/>
        <v>0.36068923293650368</v>
      </c>
      <c r="G30" s="10">
        <f t="shared" si="5"/>
        <v>1.7597893458339696E-2</v>
      </c>
      <c r="I30" s="13">
        <f t="shared" si="1"/>
        <v>243.94813944221144</v>
      </c>
      <c r="J30" s="11">
        <f>(SUM(G31:$G$79)*$I$1)</f>
        <v>163.22335937121593</v>
      </c>
      <c r="K30" s="11">
        <f t="shared" si="6"/>
        <v>-87.989467291698475</v>
      </c>
      <c r="Q30" s="65">
        <v>26</v>
      </c>
      <c r="R30" s="66">
        <f>Inputs!H33</f>
        <v>6.5499999999999998E-4</v>
      </c>
    </row>
    <row r="31" spans="1:18" x14ac:dyDescent="0.25">
      <c r="A31">
        <f t="shared" si="2"/>
        <v>101</v>
      </c>
      <c r="B31">
        <v>27</v>
      </c>
      <c r="C31" s="12">
        <f t="shared" si="3"/>
        <v>0.290016</v>
      </c>
      <c r="D31" s="10">
        <f t="shared" si="4"/>
        <v>0.70998399999999995</v>
      </c>
      <c r="E31" s="198">
        <f>IF(B31&lt;=$C$2,1,IF(B31=$C$2+1,PRODUCT($D$5:D31),E30*D31))</f>
        <v>3.4639855166747807E-2</v>
      </c>
      <c r="F31" s="10">
        <f t="shared" si="0"/>
        <v>0.3468165701312535</v>
      </c>
      <c r="G31" s="10">
        <f t="shared" si="5"/>
        <v>1.2013675758774855E-2</v>
      </c>
      <c r="I31" s="13">
        <f t="shared" si="1"/>
        <v>173.19927583373902</v>
      </c>
      <c r="J31" s="11">
        <f>(SUM(G32:$G$79)*$I$1)</f>
        <v>103.15498057734165</v>
      </c>
      <c r="K31" s="11">
        <f t="shared" si="6"/>
        <v>-60.068378793874288</v>
      </c>
      <c r="Q31" s="65">
        <v>27</v>
      </c>
      <c r="R31" s="66">
        <f>Inputs!H34</f>
        <v>6.8800000000000003E-4</v>
      </c>
    </row>
    <row r="32" spans="1:18" x14ac:dyDescent="0.25">
      <c r="A32">
        <f t="shared" si="2"/>
        <v>102</v>
      </c>
      <c r="B32">
        <v>28</v>
      </c>
      <c r="C32" s="12">
        <f t="shared" si="3"/>
        <v>0.31184899999999999</v>
      </c>
      <c r="D32" s="10">
        <f t="shared" si="4"/>
        <v>0.68815099999999996</v>
      </c>
      <c r="E32" s="198">
        <f>IF(B32&lt;=$C$2,1,IF(B32=$C$2+1,PRODUCT($D$5:D32),E31*D32))</f>
        <v>2.383745097285267E-2</v>
      </c>
      <c r="F32" s="10">
        <f t="shared" si="0"/>
        <v>0.3334774712800514</v>
      </c>
      <c r="G32" s="10">
        <f t="shared" si="5"/>
        <v>7.9492528721891095E-3</v>
      </c>
      <c r="I32" s="13">
        <f t="shared" si="1"/>
        <v>119.18725486426335</v>
      </c>
      <c r="J32" s="11">
        <f>(SUM(G33:$G$79)*$I$1)</f>
        <v>63.408716216396094</v>
      </c>
      <c r="K32" s="11">
        <f t="shared" si="6"/>
        <v>-39.746264360945553</v>
      </c>
      <c r="Q32" s="65">
        <v>28</v>
      </c>
      <c r="R32" s="66">
        <f>Inputs!H35</f>
        <v>7.1000000000000002E-4</v>
      </c>
    </row>
    <row r="33" spans="1:18" x14ac:dyDescent="0.25">
      <c r="A33">
        <f t="shared" si="2"/>
        <v>103</v>
      </c>
      <c r="B33">
        <v>29</v>
      </c>
      <c r="C33" s="12">
        <f t="shared" si="3"/>
        <v>0.33396199999999998</v>
      </c>
      <c r="D33" s="10">
        <f t="shared" si="4"/>
        <v>0.66603800000000002</v>
      </c>
      <c r="E33" s="198">
        <f>IF(B33&lt;=$C$2,1,IF(B33=$C$2+1,PRODUCT($D$5:D33),E32*D33))</f>
        <v>1.5876648171056846E-2</v>
      </c>
      <c r="F33" s="10">
        <f t="shared" si="0"/>
        <v>0.32065141469235708</v>
      </c>
      <c r="G33" s="10">
        <f t="shared" si="5"/>
        <v>5.0908696966222014E-3</v>
      </c>
      <c r="I33" s="13">
        <f t="shared" si="1"/>
        <v>79.383240855284228</v>
      </c>
      <c r="J33" s="11">
        <f>(SUM(G34:$G$79)*$I$1)</f>
        <v>37.954367733285082</v>
      </c>
      <c r="K33" s="11">
        <f t="shared" si="6"/>
        <v>-25.454348483111012</v>
      </c>
      <c r="Q33" s="65">
        <v>29</v>
      </c>
      <c r="R33" s="66">
        <f>Inputs!H36</f>
        <v>7.27E-4</v>
      </c>
    </row>
    <row r="34" spans="1:18" x14ac:dyDescent="0.25">
      <c r="A34">
        <f t="shared" si="2"/>
        <v>104</v>
      </c>
      <c r="B34">
        <v>30</v>
      </c>
      <c r="C34" s="12">
        <f t="shared" si="3"/>
        <v>0.356207</v>
      </c>
      <c r="D34" s="10">
        <f t="shared" si="4"/>
        <v>0.64379300000000006</v>
      </c>
      <c r="E34" s="198">
        <f>IF(B34&lt;=$C$2,1,IF(B34=$C$2+1,PRODUCT($D$5:D34),E33*D34))</f>
        <v>1.0221274955989202E-2</v>
      </c>
      <c r="F34" s="10">
        <f t="shared" si="0"/>
        <v>0.30831866797342034</v>
      </c>
      <c r="G34" s="10">
        <f t="shared" si="5"/>
        <v>3.1514098794206712E-3</v>
      </c>
      <c r="I34" s="13">
        <f t="shared" si="1"/>
        <v>51.106374779946009</v>
      </c>
      <c r="J34" s="11">
        <f>(SUM(G35:$G$79)*$I$1)</f>
        <v>22.197318336181727</v>
      </c>
      <c r="K34" s="11">
        <f t="shared" si="6"/>
        <v>-15.757049397103355</v>
      </c>
      <c r="Q34" s="65">
        <v>30</v>
      </c>
      <c r="R34" s="66">
        <f>Inputs!H37</f>
        <v>7.4100000000000001E-4</v>
      </c>
    </row>
    <row r="35" spans="1:18" x14ac:dyDescent="0.25">
      <c r="A35">
        <f t="shared" si="2"/>
        <v>105</v>
      </c>
      <c r="B35">
        <v>31</v>
      </c>
      <c r="C35" s="12">
        <f t="shared" si="3"/>
        <v>0.38</v>
      </c>
      <c r="D35" s="10">
        <f t="shared" si="4"/>
        <v>0.62</v>
      </c>
      <c r="E35" s="198">
        <f>IF(B35&lt;=$C$2,1,IF(B35=$C$2+1,PRODUCT($D$5:D35),E34*D35))</f>
        <v>6.3371904727133046E-3</v>
      </c>
      <c r="F35" s="10">
        <f t="shared" si="0"/>
        <v>0.29646025766675027</v>
      </c>
      <c r="G35" s="10">
        <f t="shared" si="5"/>
        <v>1.8787251204238613E-3</v>
      </c>
      <c r="I35" s="13">
        <f t="shared" si="1"/>
        <v>31.685952363566525</v>
      </c>
      <c r="J35" s="11">
        <f>(SUM(G36:$G$79)*$I$1)</f>
        <v>12.803692734062423</v>
      </c>
      <c r="K35" s="11">
        <f t="shared" si="6"/>
        <v>-9.3936256021193039</v>
      </c>
      <c r="Q35" s="65">
        <v>31</v>
      </c>
      <c r="R35" s="66">
        <f>Inputs!H38</f>
        <v>7.5100000000000004E-4</v>
      </c>
    </row>
    <row r="36" spans="1:18" x14ac:dyDescent="0.25">
      <c r="A36">
        <f t="shared" si="2"/>
        <v>106</v>
      </c>
      <c r="B36">
        <v>32</v>
      </c>
      <c r="C36" s="12">
        <f t="shared" si="3"/>
        <v>0.4</v>
      </c>
      <c r="D36" s="10">
        <f t="shared" si="4"/>
        <v>0.6</v>
      </c>
      <c r="E36" s="198">
        <f>IF(B36&lt;=$C$2,1,IF(B36=$C$2+1,PRODUCT($D$5:D36),E35*D36))</f>
        <v>3.8023142836279824E-3</v>
      </c>
      <c r="F36" s="10">
        <f t="shared" si="0"/>
        <v>0.28505794006418295</v>
      </c>
      <c r="G36" s="10">
        <f t="shared" si="5"/>
        <v>1.083879877167612E-3</v>
      </c>
      <c r="I36" s="13">
        <f t="shared" si="1"/>
        <v>19.011571418139912</v>
      </c>
      <c r="J36" s="11">
        <f>(SUM(G37:$G$79)*$I$1)</f>
        <v>7.3842933482243582</v>
      </c>
      <c r="K36" s="11">
        <f t="shared" si="6"/>
        <v>-5.4193993858380649</v>
      </c>
      <c r="Q36" s="65">
        <v>32</v>
      </c>
      <c r="R36" s="66">
        <f>Inputs!H39</f>
        <v>7.54E-4</v>
      </c>
    </row>
    <row r="37" spans="1:18" x14ac:dyDescent="0.25">
      <c r="A37">
        <f t="shared" si="2"/>
        <v>107</v>
      </c>
      <c r="B37">
        <v>33</v>
      </c>
      <c r="C37" s="12">
        <f t="shared" si="3"/>
        <v>0.4</v>
      </c>
      <c r="D37" s="10">
        <f t="shared" si="4"/>
        <v>0.6</v>
      </c>
      <c r="E37" s="198">
        <f>IF(B37&lt;=$C$2,1,IF(B37=$C$2+1,PRODUCT($D$5:D37),E36*D37))</f>
        <v>2.2813885701767895E-3</v>
      </c>
      <c r="F37" s="10">
        <f t="shared" si="0"/>
        <v>0.27409417313863743</v>
      </c>
      <c r="G37" s="10">
        <f t="shared" si="5"/>
        <v>6.2531531375054549E-4</v>
      </c>
      <c r="I37" s="13">
        <f t="shared" si="1"/>
        <v>11.406942850883947</v>
      </c>
      <c r="J37" s="11">
        <f>(SUM(G38:$G$79)*$I$1)</f>
        <v>4.2577167794716324</v>
      </c>
      <c r="K37" s="11">
        <f t="shared" si="6"/>
        <v>-3.1265765687527258</v>
      </c>
      <c r="Q37" s="65">
        <v>33</v>
      </c>
      <c r="R37" s="66">
        <f>Inputs!H40</f>
        <v>7.5600000000000005E-4</v>
      </c>
    </row>
    <row r="38" spans="1:18" x14ac:dyDescent="0.25">
      <c r="A38">
        <f t="shared" si="2"/>
        <v>108</v>
      </c>
      <c r="B38">
        <v>34</v>
      </c>
      <c r="C38" s="12">
        <f t="shared" si="3"/>
        <v>0.4</v>
      </c>
      <c r="D38" s="10">
        <f t="shared" si="4"/>
        <v>0.6</v>
      </c>
      <c r="E38" s="198">
        <f>IF(B38&lt;=$C$2,1,IF(B38=$C$2+1,PRODUCT($D$5:D38),E37*D38))</f>
        <v>1.3688331421060737E-3</v>
      </c>
      <c r="F38" s="10">
        <f t="shared" si="0"/>
        <v>0.26355208955638215</v>
      </c>
      <c r="G38" s="10">
        <f t="shared" si="5"/>
        <v>3.6075883485608393E-4</v>
      </c>
      <c r="I38" s="13">
        <f t="shared" si="1"/>
        <v>6.844165710530369</v>
      </c>
      <c r="J38" s="11">
        <f>(SUM(G39:$G$79)*$I$1)</f>
        <v>2.4539226051912131</v>
      </c>
      <c r="K38" s="11">
        <f t="shared" si="6"/>
        <v>-1.8037941742804193</v>
      </c>
      <c r="Q38" s="65">
        <v>34</v>
      </c>
      <c r="R38" s="66">
        <f>Inputs!H41</f>
        <v>7.5600000000000005E-4</v>
      </c>
    </row>
    <row r="39" spans="1:18" x14ac:dyDescent="0.25">
      <c r="A39">
        <f t="shared" si="2"/>
        <v>109</v>
      </c>
      <c r="B39">
        <v>35</v>
      </c>
      <c r="C39" s="12">
        <f t="shared" si="3"/>
        <v>0.4</v>
      </c>
      <c r="D39" s="10">
        <f t="shared" si="4"/>
        <v>0.6</v>
      </c>
      <c r="E39" s="198">
        <f>IF(B39&lt;=$C$2,1,IF(B39=$C$2+1,PRODUCT($D$5:D39),E38*D39))</f>
        <v>8.2129988526364424E-4</v>
      </c>
      <c r="F39" s="10">
        <f t="shared" si="0"/>
        <v>0.25341547072729048</v>
      </c>
      <c r="G39" s="10">
        <f t="shared" si="5"/>
        <v>2.0813009703235606E-4</v>
      </c>
      <c r="I39" s="13">
        <f t="shared" si="1"/>
        <v>4.1064994263182211</v>
      </c>
      <c r="J39" s="11">
        <f>(SUM(G40:$G$79)*$I$1)</f>
        <v>1.4132721200294327</v>
      </c>
      <c r="K39" s="11">
        <f t="shared" si="6"/>
        <v>-1.0406504851617804</v>
      </c>
      <c r="Q39" s="65">
        <v>35</v>
      </c>
      <c r="R39" s="66">
        <f>Inputs!H42</f>
        <v>7.5600000000000005E-4</v>
      </c>
    </row>
    <row r="40" spans="1:18" x14ac:dyDescent="0.25">
      <c r="A40">
        <f t="shared" si="2"/>
        <v>110</v>
      </c>
      <c r="B40">
        <v>36</v>
      </c>
      <c r="C40" s="12">
        <f t="shared" si="3"/>
        <v>0.4</v>
      </c>
      <c r="D40" s="10">
        <f t="shared" si="4"/>
        <v>0.6</v>
      </c>
      <c r="E40" s="198">
        <f>IF(B40&lt;=$C$2,1,IF(B40=$C$2+1,PRODUCT($D$5:D40),E39*D40))</f>
        <v>4.9277993115818652E-4</v>
      </c>
      <c r="F40" s="10">
        <f t="shared" si="0"/>
        <v>0.24366872185316396</v>
      </c>
      <c r="G40" s="10">
        <f t="shared" si="5"/>
        <v>1.2007505598020543E-4</v>
      </c>
      <c r="I40" s="13">
        <f t="shared" si="1"/>
        <v>2.4638996557909327</v>
      </c>
      <c r="J40" s="11">
        <f>(SUM(G41:$G$79)*$I$1)</f>
        <v>0.81289684012840524</v>
      </c>
      <c r="K40" s="11">
        <f t="shared" si="6"/>
        <v>-0.60037527990102746</v>
      </c>
      <c r="Q40" s="65">
        <v>36</v>
      </c>
      <c r="R40" s="66">
        <f>Inputs!H43</f>
        <v>7.5600000000000005E-4</v>
      </c>
    </row>
    <row r="41" spans="1:18" x14ac:dyDescent="0.25">
      <c r="A41">
        <f t="shared" si="2"/>
        <v>111</v>
      </c>
      <c r="B41">
        <v>37</v>
      </c>
      <c r="C41" s="12">
        <f t="shared" si="3"/>
        <v>0.4</v>
      </c>
      <c r="D41" s="10">
        <f t="shared" si="4"/>
        <v>0.6</v>
      </c>
      <c r="E41" s="198">
        <f>IF(B41&lt;=$C$2,1,IF(B41=$C$2+1,PRODUCT($D$5:D41),E40*D41))</f>
        <v>2.9566795869491192E-4</v>
      </c>
      <c r="F41" s="10">
        <f t="shared" si="0"/>
        <v>0.23429684793573452</v>
      </c>
      <c r="G41" s="10">
        <f t="shared" si="5"/>
        <v>6.9274070757810812E-5</v>
      </c>
      <c r="I41" s="13">
        <f t="shared" si="1"/>
        <v>1.4783397934745597</v>
      </c>
      <c r="J41" s="11">
        <f>(SUM(G42:$G$79)*$I$1)</f>
        <v>0.46652648633935118</v>
      </c>
      <c r="K41" s="11">
        <f t="shared" si="6"/>
        <v>-0.34637035378905406</v>
      </c>
      <c r="Q41" s="65">
        <v>37</v>
      </c>
      <c r="R41" s="66">
        <f>Inputs!H44</f>
        <v>7.5600000000000005E-4</v>
      </c>
    </row>
    <row r="42" spans="1:18" x14ac:dyDescent="0.25">
      <c r="A42">
        <f t="shared" si="2"/>
        <v>112</v>
      </c>
      <c r="B42">
        <v>38</v>
      </c>
      <c r="C42" s="12">
        <f t="shared" si="3"/>
        <v>0.4</v>
      </c>
      <c r="D42" s="10">
        <f t="shared" si="4"/>
        <v>0.6</v>
      </c>
      <c r="E42" s="198">
        <f>IF(B42&lt;=$C$2,1,IF(B42=$C$2+1,PRODUCT($D$5:D42),E41*D42))</f>
        <v>1.7740077521694714E-4</v>
      </c>
      <c r="F42" s="10">
        <f t="shared" si="0"/>
        <v>0.22528543070743706</v>
      </c>
      <c r="G42" s="10">
        <f t="shared" si="5"/>
        <v>3.9965810052583165E-5</v>
      </c>
      <c r="I42" s="13">
        <f t="shared" si="1"/>
        <v>0.88700387608473574</v>
      </c>
      <c r="J42" s="11">
        <f>(SUM(G43:$G$79)*$I$1)</f>
        <v>0.26669743607643542</v>
      </c>
      <c r="K42" s="11">
        <f t="shared" si="6"/>
        <v>-0.19982905026291575</v>
      </c>
      <c r="Q42" s="65">
        <v>38</v>
      </c>
      <c r="R42" s="66">
        <f>Inputs!H45</f>
        <v>7.5600000000000005E-4</v>
      </c>
    </row>
    <row r="43" spans="1:18" x14ac:dyDescent="0.25">
      <c r="A43">
        <f t="shared" si="2"/>
        <v>113</v>
      </c>
      <c r="B43">
        <v>39</v>
      </c>
      <c r="C43" s="12">
        <f t="shared" si="3"/>
        <v>0.4</v>
      </c>
      <c r="D43" s="10">
        <f t="shared" si="4"/>
        <v>0.6</v>
      </c>
      <c r="E43" s="198">
        <f>IF(B43&lt;=$C$2,1,IF(B43=$C$2+1,PRODUCT($D$5:D43),E42*D43))</f>
        <v>1.0644046513016829E-4</v>
      </c>
      <c r="F43" s="10">
        <f t="shared" si="0"/>
        <v>0.21662060644945874</v>
      </c>
      <c r="G43" s="10">
        <f t="shared" si="5"/>
        <v>2.3057198107259519E-5</v>
      </c>
      <c r="I43" s="13">
        <f t="shared" si="1"/>
        <v>0.53220232565084147</v>
      </c>
      <c r="J43" s="11">
        <f>(SUM(G44:$G$79)*$I$1)</f>
        <v>0.1514114455401378</v>
      </c>
      <c r="K43" s="11">
        <f t="shared" si="6"/>
        <v>-0.11528599053629762</v>
      </c>
      <c r="Q43" s="65">
        <v>39</v>
      </c>
      <c r="R43" s="66">
        <f>Inputs!H46</f>
        <v>8.0000000000000004E-4</v>
      </c>
    </row>
    <row r="44" spans="1:18" x14ac:dyDescent="0.25">
      <c r="A44">
        <f t="shared" si="2"/>
        <v>114</v>
      </c>
      <c r="B44">
        <v>40</v>
      </c>
      <c r="C44" s="12">
        <f t="shared" si="3"/>
        <v>0.4</v>
      </c>
      <c r="D44" s="10">
        <f t="shared" si="4"/>
        <v>0.6</v>
      </c>
      <c r="E44" s="198">
        <f>IF(B44&lt;=$C$2,1,IF(B44=$C$2+1,PRODUCT($D$5:D44),E43*D44))</f>
        <v>6.3864279078100971E-5</v>
      </c>
      <c r="F44" s="10">
        <f t="shared" si="0"/>
        <v>0.20828904466294101</v>
      </c>
      <c r="G44" s="10">
        <f t="shared" si="5"/>
        <v>1.3302229677265102E-5</v>
      </c>
      <c r="I44" s="13">
        <f t="shared" si="1"/>
        <v>0.31932139539050486</v>
      </c>
      <c r="J44" s="11">
        <f>(SUM(G45:$G$79)*$I$1)</f>
        <v>8.4900297153812296E-2</v>
      </c>
      <c r="K44" s="11">
        <f t="shared" si="6"/>
        <v>-6.6511148386325505E-2</v>
      </c>
      <c r="Q44" s="65">
        <v>40</v>
      </c>
      <c r="R44" s="66">
        <f>Inputs!H47</f>
        <v>8.5899999999999995E-4</v>
      </c>
    </row>
    <row r="45" spans="1:18" x14ac:dyDescent="0.25">
      <c r="A45">
        <f t="shared" si="2"/>
        <v>115</v>
      </c>
      <c r="B45">
        <v>41</v>
      </c>
      <c r="C45" s="12">
        <f t="shared" si="3"/>
        <v>0.4</v>
      </c>
      <c r="D45" s="10">
        <f t="shared" si="4"/>
        <v>0.6</v>
      </c>
      <c r="E45" s="198">
        <f>IF(B45&lt;=$C$2,1,IF(B45=$C$2+1,PRODUCT($D$5:D45),E44*D45))</f>
        <v>3.8318567446860579E-5</v>
      </c>
      <c r="F45" s="10">
        <f t="shared" si="0"/>
        <v>0.20027792756052021</v>
      </c>
      <c r="G45" s="10">
        <f t="shared" si="5"/>
        <v>7.6743632753452502E-6</v>
      </c>
      <c r="I45" s="13">
        <f t="shared" si="1"/>
        <v>0.1915928372343029</v>
      </c>
      <c r="J45" s="11">
        <f>(SUM(G46:$G$79)*$I$1)</f>
        <v>4.6528480777086038E-2</v>
      </c>
      <c r="K45" s="11">
        <f t="shared" si="6"/>
        <v>-3.8371816376726257E-2</v>
      </c>
      <c r="Q45" s="65">
        <v>41</v>
      </c>
      <c r="R45" s="66">
        <f>Inputs!H48</f>
        <v>9.2599999999999996E-4</v>
      </c>
    </row>
    <row r="46" spans="1:18" x14ac:dyDescent="0.25">
      <c r="A46">
        <f t="shared" si="2"/>
        <v>116</v>
      </c>
      <c r="B46">
        <v>42</v>
      </c>
      <c r="C46" s="12">
        <f t="shared" si="3"/>
        <v>0.4</v>
      </c>
      <c r="D46" s="10">
        <f t="shared" si="4"/>
        <v>0.6</v>
      </c>
      <c r="E46" s="198">
        <f>IF(B46&lt;=$C$2,1,IF(B46=$C$2+1,PRODUCT($D$5:D46),E45*D46))</f>
        <v>2.2991140468116347E-5</v>
      </c>
      <c r="F46" s="10">
        <f t="shared" si="0"/>
        <v>0.19257493034665407</v>
      </c>
      <c r="G46" s="10">
        <f t="shared" si="5"/>
        <v>4.4275172742376454E-6</v>
      </c>
      <c r="I46" s="13">
        <f t="shared" si="1"/>
        <v>0.11495570234058174</v>
      </c>
      <c r="J46" s="11">
        <f>(SUM(G47:$G$79)*$I$1)</f>
        <v>2.4390894405897808E-2</v>
      </c>
      <c r="K46" s="11">
        <f t="shared" si="6"/>
        <v>-2.213758637118823E-2</v>
      </c>
      <c r="Q46" s="65">
        <v>42</v>
      </c>
      <c r="R46" s="66">
        <f>Inputs!H49</f>
        <v>9.990000000000001E-4</v>
      </c>
    </row>
    <row r="47" spans="1:18" x14ac:dyDescent="0.25">
      <c r="A47">
        <f t="shared" si="2"/>
        <v>117</v>
      </c>
      <c r="B47">
        <v>43</v>
      </c>
      <c r="C47" s="12">
        <f t="shared" si="3"/>
        <v>0.4</v>
      </c>
      <c r="D47" s="10">
        <f t="shared" si="4"/>
        <v>0.6</v>
      </c>
      <c r="E47" s="198">
        <f>IF(B47&lt;=$C$2,1,IF(B47=$C$2+1,PRODUCT($D$5:D47),E46*D47))</f>
        <v>1.3794684280869808E-5</v>
      </c>
      <c r="F47" s="10">
        <f t="shared" si="0"/>
        <v>0.18516820225639813</v>
      </c>
      <c r="G47" s="10">
        <f t="shared" si="5"/>
        <v>2.5543368889832564E-6</v>
      </c>
      <c r="I47" s="13">
        <f t="shared" si="1"/>
        <v>6.8973421404349033E-2</v>
      </c>
      <c r="J47" s="11">
        <f>(SUM(G48:$G$79)*$I$1)</f>
        <v>1.1619209960981527E-2</v>
      </c>
      <c r="K47" s="11">
        <f t="shared" si="6"/>
        <v>-1.2771684444916281E-2</v>
      </c>
      <c r="Q47" s="65">
        <v>43</v>
      </c>
      <c r="R47" s="66">
        <f>Inputs!H50</f>
        <v>1.0690000000000001E-3</v>
      </c>
    </row>
    <row r="48" spans="1:18" x14ac:dyDescent="0.25">
      <c r="A48">
        <f t="shared" si="2"/>
        <v>118</v>
      </c>
      <c r="B48">
        <v>44</v>
      </c>
      <c r="C48" s="12">
        <f t="shared" si="3"/>
        <v>0.4</v>
      </c>
      <c r="D48" s="10">
        <f t="shared" si="4"/>
        <v>0.6</v>
      </c>
      <c r="E48" s="198">
        <f>IF(B48&lt;=$C$2,1,IF(B48=$C$2+1,PRODUCT($D$5:D48),E47*D48))</f>
        <v>8.2768105685218844E-6</v>
      </c>
      <c r="F48" s="10">
        <f t="shared" si="0"/>
        <v>0.17804634832345972</v>
      </c>
      <c r="G48" s="10">
        <f t="shared" si="5"/>
        <v>1.4736558974903401E-6</v>
      </c>
      <c r="I48" s="13">
        <f t="shared" si="1"/>
        <v>4.1384052842609424E-2</v>
      </c>
      <c r="J48" s="11">
        <f>(SUM(G49:$G$79)*$I$1)</f>
        <v>4.2509304735298264E-3</v>
      </c>
      <c r="K48" s="11">
        <f t="shared" si="6"/>
        <v>-7.3682794874517007E-3</v>
      </c>
      <c r="Q48" s="65">
        <v>44</v>
      </c>
      <c r="R48" s="66">
        <f>Inputs!H51</f>
        <v>1.142E-3</v>
      </c>
    </row>
    <row r="49" spans="1:18" x14ac:dyDescent="0.25">
      <c r="A49">
        <f t="shared" si="2"/>
        <v>119</v>
      </c>
      <c r="B49">
        <v>45</v>
      </c>
      <c r="C49" s="12">
        <f t="shared" si="3"/>
        <v>0.4</v>
      </c>
      <c r="D49" s="10">
        <f t="shared" si="4"/>
        <v>0.6</v>
      </c>
      <c r="E49" s="198">
        <f>IF(B49&lt;=$C$2,1,IF(B49=$C$2+1,PRODUCT($D$5:D49),E48*D49))</f>
        <v>4.9660863411131307E-6</v>
      </c>
      <c r="F49" s="10">
        <f t="shared" si="0"/>
        <v>0.17119841184948048</v>
      </c>
      <c r="G49" s="10">
        <f t="shared" si="5"/>
        <v>8.5018609470596531E-7</v>
      </c>
      <c r="I49" s="13">
        <f t="shared" si="1"/>
        <v>2.4830431705565655E-2</v>
      </c>
      <c r="J49" s="11">
        <f>(SUM(G50:$G$79)*$I$1)</f>
        <v>0</v>
      </c>
      <c r="K49" s="11">
        <f t="shared" si="6"/>
        <v>-4.2509304735298264E-3</v>
      </c>
      <c r="Q49" s="65">
        <v>45</v>
      </c>
      <c r="R49" s="66">
        <f>Inputs!H52</f>
        <v>1.219E-3</v>
      </c>
    </row>
    <row r="50" spans="1:18" x14ac:dyDescent="0.25">
      <c r="A50">
        <f t="shared" si="2"/>
        <v>120</v>
      </c>
      <c r="B50">
        <v>46</v>
      </c>
      <c r="C50" s="12">
        <f t="shared" si="3"/>
        <v>1</v>
      </c>
      <c r="D50" s="10">
        <f t="shared" si="4"/>
        <v>0</v>
      </c>
      <c r="E50" s="198">
        <f>IF(B50&lt;=$C$2,1,IF(B50=$C$2+1,PRODUCT($D$5:D50),E49*D50))</f>
        <v>0</v>
      </c>
      <c r="F50" s="10">
        <f t="shared" si="0"/>
        <v>0</v>
      </c>
      <c r="G50" s="10">
        <f t="shared" si="5"/>
        <v>0</v>
      </c>
      <c r="I50" s="13">
        <f t="shared" si="1"/>
        <v>0</v>
      </c>
      <c r="J50" s="11">
        <f>(SUM(G51:$G$79)*$I$1)</f>
        <v>0</v>
      </c>
      <c r="K50" s="11">
        <f t="shared" si="6"/>
        <v>0</v>
      </c>
      <c r="Q50" s="65">
        <v>46</v>
      </c>
      <c r="R50" s="66">
        <f>Inputs!H53</f>
        <v>1.3179999999999999E-3</v>
      </c>
    </row>
    <row r="51" spans="1:18" x14ac:dyDescent="0.25">
      <c r="C51" s="12"/>
      <c r="D51" s="10"/>
      <c r="E51" s="10"/>
      <c r="F51" s="10"/>
      <c r="G51" s="10"/>
      <c r="I51" s="13"/>
      <c r="J51" s="11"/>
      <c r="K51" s="11"/>
      <c r="Q51" s="65">
        <v>47</v>
      </c>
      <c r="R51" s="66">
        <f>Inputs!H54</f>
        <v>1.454E-3</v>
      </c>
    </row>
    <row r="52" spans="1:18" x14ac:dyDescent="0.25">
      <c r="C52" s="12"/>
      <c r="D52" s="10"/>
      <c r="E52" s="10"/>
      <c r="F52" s="10"/>
      <c r="G52" s="10"/>
      <c r="I52" s="13"/>
      <c r="J52" s="11"/>
      <c r="K52" s="11"/>
      <c r="Q52" s="65">
        <v>48</v>
      </c>
      <c r="R52" s="66">
        <f>Inputs!H55</f>
        <v>1.627E-3</v>
      </c>
    </row>
    <row r="53" spans="1:18" x14ac:dyDescent="0.25">
      <c r="C53" s="12"/>
      <c r="D53" s="10"/>
      <c r="E53" s="10"/>
      <c r="F53" s="10"/>
      <c r="G53" s="10"/>
      <c r="I53" s="13"/>
      <c r="J53" s="11"/>
      <c r="K53" s="11"/>
      <c r="Q53" s="65">
        <v>49</v>
      </c>
      <c r="R53" s="66">
        <f>Inputs!H56</f>
        <v>1.8289999999999999E-3</v>
      </c>
    </row>
    <row r="54" spans="1:18" x14ac:dyDescent="0.25">
      <c r="C54" s="12"/>
      <c r="D54" s="10"/>
      <c r="E54" s="10"/>
      <c r="F54" s="10"/>
      <c r="G54" s="10"/>
      <c r="I54" s="13"/>
      <c r="J54" s="11"/>
      <c r="K54" s="11"/>
      <c r="Q54" s="65">
        <v>50</v>
      </c>
      <c r="R54" s="66">
        <f>Inputs!H57</f>
        <v>2.0569999999999998E-3</v>
      </c>
    </row>
    <row r="55" spans="1:18" x14ac:dyDescent="0.25">
      <c r="C55" s="12"/>
      <c r="D55" s="10"/>
      <c r="E55" s="10"/>
      <c r="F55" s="10"/>
      <c r="G55" s="10"/>
      <c r="I55" s="13"/>
      <c r="J55" s="11"/>
      <c r="K55" s="11"/>
      <c r="Q55" s="65">
        <v>51</v>
      </c>
      <c r="R55" s="66">
        <f>Inputs!H58</f>
        <v>2.3019999999999998E-3</v>
      </c>
    </row>
    <row r="56" spans="1:18" x14ac:dyDescent="0.25">
      <c r="C56" s="12"/>
      <c r="D56" s="10"/>
      <c r="E56" s="10"/>
      <c r="F56" s="10"/>
      <c r="G56" s="10"/>
      <c r="I56" s="13"/>
      <c r="J56" s="11"/>
      <c r="K56" s="11"/>
      <c r="Q56" s="65">
        <v>52</v>
      </c>
      <c r="R56" s="66">
        <f>Inputs!H59</f>
        <v>2.545E-3</v>
      </c>
    </row>
    <row r="57" spans="1:18" x14ac:dyDescent="0.25">
      <c r="C57" s="12"/>
      <c r="D57" s="10"/>
      <c r="E57" s="10"/>
      <c r="F57" s="10"/>
      <c r="G57" s="10"/>
      <c r="I57" s="13"/>
      <c r="J57" s="11"/>
      <c r="K57" s="11"/>
      <c r="Q57" s="65">
        <v>53</v>
      </c>
      <c r="R57" s="66">
        <f>Inputs!H60</f>
        <v>2.7789999999999998E-3</v>
      </c>
    </row>
    <row r="58" spans="1:18" x14ac:dyDescent="0.25">
      <c r="C58" s="12"/>
      <c r="D58" s="10"/>
      <c r="E58" s="10"/>
      <c r="F58" s="10"/>
      <c r="G58" s="10"/>
      <c r="I58" s="13"/>
      <c r="J58" s="11"/>
      <c r="K58" s="11"/>
      <c r="Q58" s="65">
        <v>54</v>
      </c>
      <c r="R58" s="66">
        <f>Inputs!H61</f>
        <v>3.0109999999999998E-3</v>
      </c>
    </row>
    <row r="59" spans="1:18" x14ac:dyDescent="0.25">
      <c r="C59" s="12"/>
      <c r="D59" s="10"/>
      <c r="E59" s="10"/>
      <c r="F59" s="10"/>
      <c r="G59" s="10"/>
      <c r="I59" s="13"/>
      <c r="J59" s="11"/>
      <c r="K59" s="11"/>
      <c r="Q59" s="65">
        <v>55</v>
      </c>
      <c r="R59" s="66">
        <f>Inputs!H62</f>
        <v>3.2539999999999999E-3</v>
      </c>
    </row>
    <row r="60" spans="1:18" x14ac:dyDescent="0.25">
      <c r="C60" s="12"/>
      <c r="D60" s="10"/>
      <c r="E60" s="10"/>
      <c r="F60" s="10"/>
      <c r="G60" s="10"/>
      <c r="I60" s="13"/>
      <c r="J60" s="11"/>
      <c r="K60" s="11"/>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50">
    <cfRule type="cellIs" dxfId="22"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3" workbookViewId="0">
      <selection activeCell="D127" sqref="D127:F134"/>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144</v>
      </c>
      <c r="I1" s="3">
        <v>5000</v>
      </c>
      <c r="J1" s="181" t="s">
        <v>173</v>
      </c>
      <c r="L1" s="1"/>
      <c r="M1" s="4"/>
      <c r="N1" s="4"/>
      <c r="O1" s="4"/>
      <c r="P1" s="4"/>
      <c r="Q1" s="64"/>
      <c r="R1" s="28"/>
    </row>
    <row r="2" spans="1:18" ht="15.75" customHeight="1" thickBot="1" x14ac:dyDescent="0.3">
      <c r="B2" t="s">
        <v>227</v>
      </c>
      <c r="C2">
        <v>20</v>
      </c>
      <c r="F2" s="5">
        <f>'Asset and Liability Durations'!N20</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9.5139294097976421</v>
      </c>
      <c r="N3" s="10"/>
      <c r="O3" s="10"/>
      <c r="P3" s="10"/>
      <c r="Q3" s="31"/>
      <c r="R3" s="32"/>
    </row>
    <row r="4" spans="1:18" x14ac:dyDescent="0.25">
      <c r="A4">
        <v>74</v>
      </c>
      <c r="B4">
        <v>0</v>
      </c>
      <c r="C4" s="8"/>
      <c r="D4" s="7"/>
      <c r="E4" s="7"/>
      <c r="F4" s="7"/>
      <c r="G4" s="10">
        <v>1</v>
      </c>
      <c r="J4" s="11">
        <f>(SUM(G5:$G$79)*$I$1)</f>
        <v>69451.9350574079</v>
      </c>
      <c r="Q4" s="65">
        <v>0</v>
      </c>
      <c r="R4" s="66">
        <f>Inputs!H7</f>
        <v>1.6050000000000001E-3</v>
      </c>
    </row>
    <row r="5" spans="1:18" ht="15.75" thickBot="1" x14ac:dyDescent="0.3">
      <c r="A5">
        <f>B5+$A$4</f>
        <v>75</v>
      </c>
      <c r="B5">
        <v>1</v>
      </c>
      <c r="C5" s="12">
        <f>VLOOKUP(A5,$Q$4:$R$124,2,FALSE)</f>
        <v>1.8814999999999998E-2</v>
      </c>
      <c r="D5" s="10">
        <f>1-C5</f>
        <v>0.98118499999999997</v>
      </c>
      <c r="E5" s="198">
        <f>IF(B5&lt;=$C$2,1,IF(B5=$C$2+1,PRODUCT($D$5:D5),E4*D5))</f>
        <v>1</v>
      </c>
      <c r="F5" s="10">
        <f t="shared" ref="F5:F50" si="0">IF(D5=0,0,(1+$F$2)^-B5)</f>
        <v>0.96153846153846145</v>
      </c>
      <c r="G5" s="10">
        <f>F5*E5</f>
        <v>0.96153846153846145</v>
      </c>
      <c r="I5" s="13">
        <f t="shared" ref="I5:I50" si="1">E5*$I$1</f>
        <v>5000</v>
      </c>
      <c r="J5" s="11">
        <f>(SUM(G6:$G$79)*$I$1)</f>
        <v>64644.242749715588</v>
      </c>
      <c r="K5" s="11">
        <f>J5-J4</f>
        <v>-4807.6923076923122</v>
      </c>
      <c r="L5" s="14" t="s">
        <v>16</v>
      </c>
      <c r="M5" s="14" t="s">
        <v>17</v>
      </c>
      <c r="N5" s="14" t="s">
        <v>18</v>
      </c>
      <c r="O5" s="14" t="s">
        <v>47</v>
      </c>
      <c r="Q5" s="65">
        <v>1</v>
      </c>
      <c r="R5" s="66">
        <f>Inputs!H8</f>
        <v>4.0099999999999999E-4</v>
      </c>
    </row>
    <row r="6" spans="1:18" x14ac:dyDescent="0.25">
      <c r="A6">
        <f t="shared" ref="A6:A50" si="2">B6+$A$4</f>
        <v>76</v>
      </c>
      <c r="B6">
        <v>2</v>
      </c>
      <c r="C6" s="12">
        <f t="shared" ref="C6:C50" si="3">VLOOKUP(A6,$Q$4:$R$124,2,FALSE)</f>
        <v>2.1031000000000001E-2</v>
      </c>
      <c r="D6" s="10">
        <f t="shared" ref="D6:D50" si="4">1-C6</f>
        <v>0.97896899999999998</v>
      </c>
      <c r="E6" s="198">
        <f>IF(B6&lt;=$C$2,1,IF(B6=$C$2+1,PRODUCT($D$5:D6),E5*D6))</f>
        <v>1</v>
      </c>
      <c r="F6" s="10">
        <f t="shared" si="0"/>
        <v>0.92455621301775137</v>
      </c>
      <c r="G6" s="10">
        <f t="shared" ref="G6:G50" si="5">F6*E6</f>
        <v>0.92455621301775137</v>
      </c>
      <c r="I6" s="13">
        <f t="shared" si="1"/>
        <v>5000</v>
      </c>
      <c r="J6" s="11">
        <f>(SUM(G7:$G$79)*$I$1)</f>
        <v>60021.461684626825</v>
      </c>
      <c r="K6" s="11">
        <f t="shared" ref="K6:K50" si="6">J6-J5</f>
        <v>-4622.7810650887623</v>
      </c>
      <c r="L6" s="14">
        <v>2</v>
      </c>
      <c r="M6" s="54" t="s">
        <v>44</v>
      </c>
      <c r="N6" s="15">
        <f>SUM(I5:I7)</f>
        <v>15000</v>
      </c>
      <c r="O6" s="16">
        <f>N6/SUM($N$6:$N$9)</f>
        <v>0.14456111325460272</v>
      </c>
      <c r="Q6" s="65">
        <v>2</v>
      </c>
      <c r="R6" s="66">
        <f>Inputs!H9</f>
        <v>2.7500000000000002E-4</v>
      </c>
    </row>
    <row r="7" spans="1:18" x14ac:dyDescent="0.25">
      <c r="A7">
        <f t="shared" si="2"/>
        <v>77</v>
      </c>
      <c r="B7">
        <v>3</v>
      </c>
      <c r="C7" s="12">
        <f t="shared" si="3"/>
        <v>2.3539999999999998E-2</v>
      </c>
      <c r="D7" s="10">
        <f t="shared" si="4"/>
        <v>0.97645999999999999</v>
      </c>
      <c r="E7" s="198">
        <f>IF(B7&lt;=$C$2,1,IF(B7=$C$2+1,PRODUCT($D$5:D7),E6*D7))</f>
        <v>1</v>
      </c>
      <c r="F7" s="10">
        <f t="shared" si="0"/>
        <v>0.88899635867091487</v>
      </c>
      <c r="G7" s="10">
        <f t="shared" si="5"/>
        <v>0.88899635867091487</v>
      </c>
      <c r="I7" s="13">
        <f t="shared" si="1"/>
        <v>5000</v>
      </c>
      <c r="J7" s="11">
        <f>(SUM(G8:$G$79)*$I$1)</f>
        <v>55576.479891272247</v>
      </c>
      <c r="K7" s="11">
        <f t="shared" si="6"/>
        <v>-4444.9817933545783</v>
      </c>
      <c r="L7" s="14">
        <v>5</v>
      </c>
      <c r="M7" s="19" t="s">
        <v>45</v>
      </c>
      <c r="N7" s="17">
        <f>SUM(I8:I11)</f>
        <v>20000</v>
      </c>
      <c r="O7" s="18">
        <f>N7/SUM($N$6:$N$9)</f>
        <v>0.19274815100613696</v>
      </c>
      <c r="Q7" s="65">
        <v>3</v>
      </c>
      <c r="R7" s="66">
        <f>Inputs!H10</f>
        <v>2.2900000000000001E-4</v>
      </c>
    </row>
    <row r="8" spans="1:18" x14ac:dyDescent="0.25">
      <c r="A8">
        <f t="shared" si="2"/>
        <v>78</v>
      </c>
      <c r="B8">
        <v>4</v>
      </c>
      <c r="C8" s="12">
        <f t="shared" si="3"/>
        <v>2.6374999999999999E-2</v>
      </c>
      <c r="D8" s="10">
        <f t="shared" si="4"/>
        <v>0.97362499999999996</v>
      </c>
      <c r="E8" s="198">
        <f>IF(B8&lt;=$C$2,1,IF(B8=$C$2+1,PRODUCT($D$5:D8),E7*D8))</f>
        <v>1</v>
      </c>
      <c r="F8" s="10">
        <f t="shared" si="0"/>
        <v>0.85480419102972571</v>
      </c>
      <c r="G8" s="10">
        <f>F8*E8</f>
        <v>0.85480419102972571</v>
      </c>
      <c r="I8" s="13">
        <f t="shared" si="1"/>
        <v>5000</v>
      </c>
      <c r="J8" s="11">
        <f>(SUM(G9:$G$79)*$I$1)</f>
        <v>51302.458936123621</v>
      </c>
      <c r="K8" s="11">
        <f t="shared" si="6"/>
        <v>-4274.0209551486259</v>
      </c>
      <c r="L8" s="14">
        <v>10</v>
      </c>
      <c r="M8" s="19" t="s">
        <v>46</v>
      </c>
      <c r="N8" s="17">
        <f>SUM(I12:I19)</f>
        <v>40000</v>
      </c>
      <c r="O8" s="18">
        <f>N8/SUM($N$6:$N$9)</f>
        <v>0.38549630201227392</v>
      </c>
      <c r="Q8" s="65">
        <v>4</v>
      </c>
      <c r="R8" s="66">
        <f>Inputs!H11</f>
        <v>1.74E-4</v>
      </c>
    </row>
    <row r="9" spans="1:18" ht="15.75" thickBot="1" x14ac:dyDescent="0.3">
      <c r="A9">
        <f t="shared" si="2"/>
        <v>79</v>
      </c>
      <c r="B9">
        <v>5</v>
      </c>
      <c r="C9" s="12">
        <f t="shared" si="3"/>
        <v>2.9572000000000001E-2</v>
      </c>
      <c r="D9" s="10">
        <f t="shared" si="4"/>
        <v>0.97042799999999996</v>
      </c>
      <c r="E9" s="198">
        <f>IF(B9&lt;=$C$2,1,IF(B9=$C$2+1,PRODUCT($D$5:D9),E8*D9))</f>
        <v>1</v>
      </c>
      <c r="F9" s="10">
        <f t="shared" si="0"/>
        <v>0.82192710675935154</v>
      </c>
      <c r="G9" s="10">
        <f t="shared" si="5"/>
        <v>0.82192710675935154</v>
      </c>
      <c r="I9" s="13">
        <f t="shared" si="1"/>
        <v>5000</v>
      </c>
      <c r="J9" s="11">
        <f>(SUM(G10:$G$79)*$I$1)</f>
        <v>47192.82340232686</v>
      </c>
      <c r="K9" s="11">
        <f t="shared" si="6"/>
        <v>-4109.6355337967616</v>
      </c>
      <c r="L9" s="14">
        <v>30</v>
      </c>
      <c r="M9" s="20" t="s">
        <v>48</v>
      </c>
      <c r="N9" s="21">
        <f>SUM(I20:I70)</f>
        <v>28762.344259080419</v>
      </c>
      <c r="O9" s="22">
        <f>N9/SUM($N$6:$N$9)</f>
        <v>0.27719443372698643</v>
      </c>
      <c r="Q9" s="65">
        <v>5</v>
      </c>
      <c r="R9" s="66">
        <f>Inputs!H12</f>
        <v>1.6799999999999999E-4</v>
      </c>
    </row>
    <row r="10" spans="1:18" x14ac:dyDescent="0.25">
      <c r="A10">
        <f t="shared" si="2"/>
        <v>80</v>
      </c>
      <c r="B10">
        <v>6</v>
      </c>
      <c r="C10" s="12">
        <f t="shared" si="3"/>
        <v>3.3234E-2</v>
      </c>
      <c r="D10" s="10">
        <f t="shared" si="4"/>
        <v>0.96676600000000001</v>
      </c>
      <c r="E10" s="198">
        <f>IF(B10&lt;=$C$2,1,IF(B10=$C$2+1,PRODUCT($D$5:D10),E9*D10))</f>
        <v>1</v>
      </c>
      <c r="F10" s="10">
        <f t="shared" si="0"/>
        <v>0.79031452573014571</v>
      </c>
      <c r="G10" s="10">
        <f t="shared" si="5"/>
        <v>0.79031452573014571</v>
      </c>
      <c r="I10" s="13">
        <f t="shared" si="1"/>
        <v>5000</v>
      </c>
      <c r="J10" s="11">
        <f>(SUM(G11:$G$79)*$I$1)</f>
        <v>43241.25077367614</v>
      </c>
      <c r="K10" s="11">
        <f t="shared" si="6"/>
        <v>-3951.5726286507197</v>
      </c>
      <c r="L10" s="53">
        <f>+SUMPRODUCT(L6:L9,O6:O9)</f>
        <v>13.423659013472221</v>
      </c>
      <c r="O10" s="23">
        <f>SUM(O6:O9)</f>
        <v>1</v>
      </c>
      <c r="Q10" s="65">
        <v>6</v>
      </c>
      <c r="R10" s="66">
        <f>Inputs!H13</f>
        <v>1.65E-4</v>
      </c>
    </row>
    <row r="11" spans="1:18" x14ac:dyDescent="0.25">
      <c r="A11">
        <f t="shared" si="2"/>
        <v>81</v>
      </c>
      <c r="B11">
        <v>7</v>
      </c>
      <c r="C11" s="12">
        <f t="shared" si="3"/>
        <v>3.7532999999999997E-2</v>
      </c>
      <c r="D11" s="10">
        <f t="shared" si="4"/>
        <v>0.96246699999999996</v>
      </c>
      <c r="E11" s="198">
        <f>IF(B11&lt;=$C$2,1,IF(B11=$C$2+1,PRODUCT($D$5:D11),E10*D11))</f>
        <v>1</v>
      </c>
      <c r="F11" s="10">
        <f t="shared" si="0"/>
        <v>0.75991781320206331</v>
      </c>
      <c r="G11" s="10">
        <f t="shared" si="5"/>
        <v>0.75991781320206331</v>
      </c>
      <c r="I11" s="13">
        <f t="shared" si="1"/>
        <v>5000</v>
      </c>
      <c r="J11" s="11">
        <f>(SUM(G12:$G$79)*$I$1)</f>
        <v>39441.661707665808</v>
      </c>
      <c r="K11" s="11">
        <f t="shared" si="6"/>
        <v>-3799.5890660103323</v>
      </c>
      <c r="Q11" s="65">
        <v>7</v>
      </c>
      <c r="R11" s="66">
        <f>Inputs!H14</f>
        <v>1.5899999999999999E-4</v>
      </c>
    </row>
    <row r="12" spans="1:18" x14ac:dyDescent="0.25">
      <c r="A12">
        <f t="shared" si="2"/>
        <v>82</v>
      </c>
      <c r="B12">
        <v>8</v>
      </c>
      <c r="C12" s="12">
        <f t="shared" si="3"/>
        <v>4.2261E-2</v>
      </c>
      <c r="D12" s="10">
        <f t="shared" si="4"/>
        <v>0.95773900000000001</v>
      </c>
      <c r="E12" s="198">
        <f>IF(B12&lt;=$C$2,1,IF(B12=$C$2+1,PRODUCT($D$5:D12),E11*D12))</f>
        <v>1</v>
      </c>
      <c r="F12" s="10">
        <f t="shared" si="0"/>
        <v>0.73069020500198378</v>
      </c>
      <c r="G12" s="10">
        <f t="shared" si="5"/>
        <v>0.73069020500198378</v>
      </c>
      <c r="I12" s="13">
        <f t="shared" si="1"/>
        <v>5000</v>
      </c>
      <c r="J12" s="11">
        <f>(SUM(G13:$G$79)*$I$1)</f>
        <v>35788.210682655896</v>
      </c>
      <c r="K12" s="11">
        <f t="shared" si="6"/>
        <v>-3653.451025009912</v>
      </c>
      <c r="Q12" s="65">
        <v>8</v>
      </c>
      <c r="R12" s="66">
        <f>Inputs!H15</f>
        <v>1.4300000000000001E-4</v>
      </c>
    </row>
    <row r="13" spans="1:18" x14ac:dyDescent="0.25">
      <c r="A13">
        <f t="shared" si="2"/>
        <v>83</v>
      </c>
      <c r="B13">
        <v>9</v>
      </c>
      <c r="C13" s="12">
        <f t="shared" si="3"/>
        <v>4.7440999999999997E-2</v>
      </c>
      <c r="D13" s="10">
        <f t="shared" si="4"/>
        <v>0.95255900000000004</v>
      </c>
      <c r="E13" s="198">
        <f>IF(B13&lt;=$C$2,1,IF(B13=$C$2+1,PRODUCT($D$5:D13),E12*D13))</f>
        <v>1</v>
      </c>
      <c r="F13" s="10">
        <f t="shared" si="0"/>
        <v>0.70258673557883045</v>
      </c>
      <c r="G13" s="10">
        <f t="shared" si="5"/>
        <v>0.70258673557883045</v>
      </c>
      <c r="I13" s="13">
        <f t="shared" si="1"/>
        <v>5000</v>
      </c>
      <c r="J13" s="11">
        <f>(SUM(G14:$G$79)*$I$1)</f>
        <v>32275.277004761738</v>
      </c>
      <c r="K13" s="11">
        <f t="shared" si="6"/>
        <v>-3512.9336778941579</v>
      </c>
      <c r="Q13" s="65">
        <v>9</v>
      </c>
      <c r="R13" s="66">
        <f>Inputs!H16</f>
        <v>1.2899999999999999E-4</v>
      </c>
    </row>
    <row r="14" spans="1:18" x14ac:dyDescent="0.25">
      <c r="A14">
        <f t="shared" si="2"/>
        <v>84</v>
      </c>
      <c r="B14">
        <v>10</v>
      </c>
      <c r="C14" s="12">
        <f t="shared" si="3"/>
        <v>5.3233000000000003E-2</v>
      </c>
      <c r="D14" s="10">
        <f t="shared" si="4"/>
        <v>0.94676700000000003</v>
      </c>
      <c r="E14" s="198">
        <f>IF(B14&lt;=$C$2,1,IF(B14=$C$2+1,PRODUCT($D$5:D14),E13*D14))</f>
        <v>1</v>
      </c>
      <c r="F14" s="10">
        <f t="shared" si="0"/>
        <v>0.67556416882579851</v>
      </c>
      <c r="G14" s="10">
        <f t="shared" si="5"/>
        <v>0.67556416882579851</v>
      </c>
      <c r="I14" s="13">
        <f t="shared" si="1"/>
        <v>5000</v>
      </c>
      <c r="J14" s="11">
        <f>(SUM(G15:$G$79)*$I$1)</f>
        <v>28897.456160632748</v>
      </c>
      <c r="K14" s="11">
        <f t="shared" si="6"/>
        <v>-3377.8208441289898</v>
      </c>
      <c r="Q14" s="65">
        <v>10</v>
      </c>
      <c r="R14" s="66">
        <f>Inputs!H17</f>
        <v>1.13E-4</v>
      </c>
    </row>
    <row r="15" spans="1:18" x14ac:dyDescent="0.25">
      <c r="A15">
        <f t="shared" si="2"/>
        <v>85</v>
      </c>
      <c r="B15">
        <v>11</v>
      </c>
      <c r="C15" s="12">
        <f t="shared" si="3"/>
        <v>5.9854999999999998E-2</v>
      </c>
      <c r="D15" s="10">
        <f t="shared" si="4"/>
        <v>0.94014500000000001</v>
      </c>
      <c r="E15" s="198">
        <f>IF(B15&lt;=$C$2,1,IF(B15=$C$2+1,PRODUCT($D$5:D15),E14*D15))</f>
        <v>1</v>
      </c>
      <c r="F15" s="10">
        <f t="shared" si="0"/>
        <v>0.6495809315632679</v>
      </c>
      <c r="G15" s="10">
        <f t="shared" si="5"/>
        <v>0.6495809315632679</v>
      </c>
      <c r="I15" s="13">
        <f t="shared" si="1"/>
        <v>5000</v>
      </c>
      <c r="J15" s="11">
        <f>(SUM(G16:$G$79)*$I$1)</f>
        <v>25649.551502816408</v>
      </c>
      <c r="K15" s="11">
        <f t="shared" si="6"/>
        <v>-3247.9046578163397</v>
      </c>
      <c r="Q15" s="65">
        <v>11</v>
      </c>
      <c r="R15" s="66">
        <f>Inputs!H18</f>
        <v>1.11E-4</v>
      </c>
    </row>
    <row r="16" spans="1:18" x14ac:dyDescent="0.25">
      <c r="A16">
        <f t="shared" si="2"/>
        <v>86</v>
      </c>
      <c r="B16">
        <v>12</v>
      </c>
      <c r="C16" s="12">
        <f t="shared" si="3"/>
        <v>6.7514000000000005E-2</v>
      </c>
      <c r="D16" s="10">
        <f t="shared" si="4"/>
        <v>0.93248600000000004</v>
      </c>
      <c r="E16" s="198">
        <f>IF(B16&lt;=$C$2,1,IF(B16=$C$2+1,PRODUCT($D$5:D16),E15*D16))</f>
        <v>1</v>
      </c>
      <c r="F16" s="10">
        <f t="shared" si="0"/>
        <v>0.62459704958006512</v>
      </c>
      <c r="G16" s="10">
        <f t="shared" si="5"/>
        <v>0.62459704958006512</v>
      </c>
      <c r="I16" s="13">
        <f t="shared" si="1"/>
        <v>5000</v>
      </c>
      <c r="J16" s="11">
        <f>(SUM(G17:$G$79)*$I$1)</f>
        <v>22526.566254916084</v>
      </c>
      <c r="K16" s="11">
        <f t="shared" si="6"/>
        <v>-3122.9852479003239</v>
      </c>
      <c r="Q16" s="65">
        <v>12</v>
      </c>
      <c r="R16" s="66">
        <f>Inputs!H19</f>
        <v>1.3200000000000001E-4</v>
      </c>
    </row>
    <row r="17" spans="1:18" x14ac:dyDescent="0.25">
      <c r="A17">
        <f t="shared" si="2"/>
        <v>87</v>
      </c>
      <c r="B17">
        <v>13</v>
      </c>
      <c r="C17" s="12">
        <f t="shared" si="3"/>
        <v>7.6340000000000005E-2</v>
      </c>
      <c r="D17" s="10">
        <f t="shared" si="4"/>
        <v>0.92366000000000004</v>
      </c>
      <c r="E17" s="198">
        <f>IF(B17&lt;=$C$2,1,IF(B17=$C$2+1,PRODUCT($D$5:D17),E16*D17))</f>
        <v>1</v>
      </c>
      <c r="F17" s="10">
        <f t="shared" si="0"/>
        <v>0.600574086134678</v>
      </c>
      <c r="G17" s="10">
        <f t="shared" si="5"/>
        <v>0.600574086134678</v>
      </c>
      <c r="I17" s="13">
        <f t="shared" si="1"/>
        <v>5000</v>
      </c>
      <c r="J17" s="11">
        <f>(SUM(G18:$G$79)*$I$1)</f>
        <v>19523.695824242692</v>
      </c>
      <c r="K17" s="11">
        <f t="shared" si="6"/>
        <v>-3002.8704306733925</v>
      </c>
      <c r="Q17" s="65">
        <v>13</v>
      </c>
      <c r="R17" s="66">
        <f>Inputs!H20</f>
        <v>1.6899999999999999E-4</v>
      </c>
    </row>
    <row r="18" spans="1:18" x14ac:dyDescent="0.25">
      <c r="A18">
        <f t="shared" si="2"/>
        <v>88</v>
      </c>
      <c r="B18">
        <v>14</v>
      </c>
      <c r="C18" s="12">
        <f t="shared" si="3"/>
        <v>8.6388000000000006E-2</v>
      </c>
      <c r="D18" s="10">
        <f t="shared" si="4"/>
        <v>0.91361199999999998</v>
      </c>
      <c r="E18" s="198">
        <f>IF(B18&lt;=$C$2,1,IF(B18=$C$2+1,PRODUCT($D$5:D18),E17*D18))</f>
        <v>1</v>
      </c>
      <c r="F18" s="10">
        <f t="shared" si="0"/>
        <v>0.57747508282180582</v>
      </c>
      <c r="G18" s="10">
        <f t="shared" si="5"/>
        <v>0.57747508282180582</v>
      </c>
      <c r="I18" s="13">
        <f t="shared" si="1"/>
        <v>5000</v>
      </c>
      <c r="J18" s="11">
        <f>(SUM(G19:$G$79)*$I$1)</f>
        <v>16636.320410133663</v>
      </c>
      <c r="K18" s="11">
        <f t="shared" si="6"/>
        <v>-2887.3754141090285</v>
      </c>
      <c r="Q18" s="65">
        <v>14</v>
      </c>
      <c r="R18" s="66">
        <f>Inputs!H21</f>
        <v>2.13E-4</v>
      </c>
    </row>
    <row r="19" spans="1:18" x14ac:dyDescent="0.25">
      <c r="A19">
        <f t="shared" si="2"/>
        <v>89</v>
      </c>
      <c r="B19">
        <v>15</v>
      </c>
      <c r="C19" s="12">
        <f t="shared" si="3"/>
        <v>9.7633999999999999E-2</v>
      </c>
      <c r="D19" s="10">
        <f t="shared" si="4"/>
        <v>0.902366</v>
      </c>
      <c r="E19" s="198">
        <f>IF(B19&lt;=$C$2,1,IF(B19=$C$2+1,PRODUCT($D$5:D19),E18*D19))</f>
        <v>1</v>
      </c>
      <c r="F19" s="10">
        <f t="shared" si="0"/>
        <v>0.55526450271327477</v>
      </c>
      <c r="G19" s="10">
        <f t="shared" si="5"/>
        <v>0.55526450271327477</v>
      </c>
      <c r="I19" s="13">
        <f t="shared" si="1"/>
        <v>5000</v>
      </c>
      <c r="J19" s="11">
        <f>(SUM(G20:$G$79)*$I$1)</f>
        <v>13859.997896567289</v>
      </c>
      <c r="K19" s="11">
        <f t="shared" si="6"/>
        <v>-2776.3225135663743</v>
      </c>
      <c r="Q19" s="65">
        <v>15</v>
      </c>
      <c r="R19" s="66">
        <f>Inputs!H22</f>
        <v>2.5399999999999999E-4</v>
      </c>
    </row>
    <row r="20" spans="1:18" x14ac:dyDescent="0.25">
      <c r="A20">
        <f t="shared" si="2"/>
        <v>90</v>
      </c>
      <c r="B20">
        <v>16</v>
      </c>
      <c r="C20" s="12">
        <f t="shared" si="3"/>
        <v>0.10999299999999999</v>
      </c>
      <c r="D20" s="10">
        <f t="shared" si="4"/>
        <v>0.89000699999999999</v>
      </c>
      <c r="E20" s="198">
        <f>IF(B20&lt;=$C$2,1,IF(B20=$C$2+1,PRODUCT($D$5:D20),E19*D20))</f>
        <v>1</v>
      </c>
      <c r="F20" s="10">
        <f t="shared" si="0"/>
        <v>0.53390817568584104</v>
      </c>
      <c r="G20" s="10">
        <f t="shared" si="5"/>
        <v>0.53390817568584104</v>
      </c>
      <c r="I20" s="13">
        <f t="shared" si="1"/>
        <v>5000</v>
      </c>
      <c r="J20" s="11">
        <f>(SUM(G21:$G$79)*$I$1)</f>
        <v>11190.457018138082</v>
      </c>
      <c r="K20" s="11">
        <f t="shared" si="6"/>
        <v>-2669.5408784292067</v>
      </c>
      <c r="Q20" s="65">
        <v>16</v>
      </c>
      <c r="R20" s="66">
        <f>Inputs!H23</f>
        <v>2.9300000000000002E-4</v>
      </c>
    </row>
    <row r="21" spans="1:18" x14ac:dyDescent="0.25">
      <c r="A21">
        <f t="shared" si="2"/>
        <v>91</v>
      </c>
      <c r="B21">
        <v>17</v>
      </c>
      <c r="C21" s="12">
        <f t="shared" si="3"/>
        <v>0.12311900000000001</v>
      </c>
      <c r="D21" s="10">
        <f t="shared" si="4"/>
        <v>0.87688100000000002</v>
      </c>
      <c r="E21" s="198">
        <f>IF(B21&lt;=$C$2,1,IF(B21=$C$2+1,PRODUCT($D$5:D21),E20*D21))</f>
        <v>1</v>
      </c>
      <c r="F21" s="10">
        <f t="shared" si="0"/>
        <v>0.51337324585177024</v>
      </c>
      <c r="G21" s="10">
        <f t="shared" si="5"/>
        <v>0.51337324585177024</v>
      </c>
      <c r="I21" s="13">
        <f t="shared" si="1"/>
        <v>5000</v>
      </c>
      <c r="J21" s="11">
        <f>(SUM(G22:$G$79)*$I$1)</f>
        <v>8623.5907888792299</v>
      </c>
      <c r="K21" s="11">
        <f t="shared" si="6"/>
        <v>-2566.8662292588524</v>
      </c>
      <c r="Q21" s="65">
        <v>17</v>
      </c>
      <c r="R21" s="66">
        <f>Inputs!H24</f>
        <v>3.28E-4</v>
      </c>
    </row>
    <row r="22" spans="1:18" x14ac:dyDescent="0.25">
      <c r="A22">
        <f t="shared" si="2"/>
        <v>92</v>
      </c>
      <c r="B22">
        <v>18</v>
      </c>
      <c r="C22" s="12">
        <f t="shared" si="3"/>
        <v>0.13716800000000001</v>
      </c>
      <c r="D22" s="10">
        <f t="shared" si="4"/>
        <v>0.86283200000000004</v>
      </c>
      <c r="E22" s="198">
        <f>IF(B22&lt;=$C$2,1,IF(B22=$C$2+1,PRODUCT($D$5:D22),E21*D22))</f>
        <v>1</v>
      </c>
      <c r="F22" s="10">
        <f t="shared" si="0"/>
        <v>0.49362812101131748</v>
      </c>
      <c r="G22" s="10">
        <f t="shared" si="5"/>
        <v>0.49362812101131748</v>
      </c>
      <c r="I22" s="13">
        <f t="shared" si="1"/>
        <v>5000</v>
      </c>
      <c r="J22" s="11">
        <f>(SUM(G23:$G$79)*$I$1)</f>
        <v>6155.4501838226442</v>
      </c>
      <c r="K22" s="11">
        <f t="shared" si="6"/>
        <v>-2468.1406050565856</v>
      </c>
      <c r="Q22" s="65">
        <v>18</v>
      </c>
      <c r="R22" s="66">
        <f>Inputs!H25</f>
        <v>3.59E-4</v>
      </c>
    </row>
    <row r="23" spans="1:18" x14ac:dyDescent="0.25">
      <c r="A23">
        <f t="shared" si="2"/>
        <v>93</v>
      </c>
      <c r="B23">
        <v>19</v>
      </c>
      <c r="C23" s="12">
        <f t="shared" si="3"/>
        <v>0.152171</v>
      </c>
      <c r="D23" s="10">
        <f t="shared" si="4"/>
        <v>0.84782899999999994</v>
      </c>
      <c r="E23" s="198">
        <f>IF(B23&lt;=$C$2,1,IF(B23=$C$2+1,PRODUCT($D$5:D23),E22*D23))</f>
        <v>1</v>
      </c>
      <c r="F23" s="10">
        <f t="shared" si="0"/>
        <v>0.47464242404934376</v>
      </c>
      <c r="G23" s="10">
        <f t="shared" si="5"/>
        <v>0.47464242404934376</v>
      </c>
      <c r="I23" s="13">
        <f t="shared" si="1"/>
        <v>5000</v>
      </c>
      <c r="J23" s="11">
        <f>(SUM(G24:$G$79)*$I$1)</f>
        <v>3782.2380635759273</v>
      </c>
      <c r="K23" s="11">
        <f t="shared" si="6"/>
        <v>-2373.2121202467169</v>
      </c>
      <c r="Q23" s="65">
        <v>19</v>
      </c>
      <c r="R23" s="66">
        <f>Inputs!H26</f>
        <v>3.8699999999999997E-4</v>
      </c>
    </row>
    <row r="24" spans="1:18" x14ac:dyDescent="0.25">
      <c r="A24">
        <f t="shared" si="2"/>
        <v>94</v>
      </c>
      <c r="B24">
        <v>20</v>
      </c>
      <c r="C24" s="12">
        <f t="shared" si="3"/>
        <v>0.16819400000000001</v>
      </c>
      <c r="D24" s="10">
        <f t="shared" si="4"/>
        <v>0.83180600000000005</v>
      </c>
      <c r="E24" s="198">
        <f>IF(B24&lt;=$C$2,1,IF(B24=$C$2+1,PRODUCT($D$5:D24),E23*D24))</f>
        <v>1</v>
      </c>
      <c r="F24" s="10">
        <f t="shared" si="0"/>
        <v>0.45638694620129205</v>
      </c>
      <c r="G24" s="10">
        <f t="shared" si="5"/>
        <v>0.45638694620129205</v>
      </c>
      <c r="I24" s="13">
        <f t="shared" si="1"/>
        <v>5000</v>
      </c>
      <c r="J24" s="11">
        <f>(SUM(G25:$G$79)*$I$1)</f>
        <v>1500.3033325694673</v>
      </c>
      <c r="K24" s="11">
        <f t="shared" si="6"/>
        <v>-2281.93473100646</v>
      </c>
      <c r="Q24" s="65">
        <v>20</v>
      </c>
      <c r="R24" s="66">
        <f>Inputs!H27</f>
        <v>4.1399999999999998E-4</v>
      </c>
    </row>
    <row r="25" spans="1:18" x14ac:dyDescent="0.25">
      <c r="A25">
        <f t="shared" si="2"/>
        <v>95</v>
      </c>
      <c r="B25">
        <v>21</v>
      </c>
      <c r="C25" s="12">
        <f t="shared" si="3"/>
        <v>0.18526000000000001</v>
      </c>
      <c r="D25" s="10">
        <f t="shared" si="4"/>
        <v>0.81474000000000002</v>
      </c>
      <c r="E25" s="198">
        <f>IF(B25&lt;=$C$2,1,IF(B25=$C$2+1,PRODUCT($D$5:D25),E24*D25))</f>
        <v>0.18395949780922249</v>
      </c>
      <c r="F25" s="10">
        <f t="shared" si="0"/>
        <v>0.43883360211662686</v>
      </c>
      <c r="G25" s="10">
        <f t="shared" si="5"/>
        <v>8.0727609067186831E-2</v>
      </c>
      <c r="I25" s="13">
        <f t="shared" si="1"/>
        <v>919.79748904611245</v>
      </c>
      <c r="J25" s="11">
        <f>(SUM(G26:$G$79)*$I$1)</f>
        <v>1096.6652872335328</v>
      </c>
      <c r="K25" s="11">
        <f t="shared" si="6"/>
        <v>-403.63804533593452</v>
      </c>
      <c r="Q25" s="65">
        <v>21</v>
      </c>
      <c r="R25" s="66">
        <f>Inputs!H28</f>
        <v>4.4299999999999998E-4</v>
      </c>
    </row>
    <row r="26" spans="1:18" x14ac:dyDescent="0.25">
      <c r="A26">
        <f t="shared" si="2"/>
        <v>96</v>
      </c>
      <c r="B26">
        <v>22</v>
      </c>
      <c r="C26" s="12">
        <f t="shared" si="3"/>
        <v>0.197322</v>
      </c>
      <c r="D26" s="10">
        <f t="shared" si="4"/>
        <v>0.802678</v>
      </c>
      <c r="E26" s="198">
        <f>IF(B26&lt;=$C$2,1,IF(B26=$C$2+1,PRODUCT($D$5:D26),E25*D26))</f>
        <v>0.14766024178251108</v>
      </c>
      <c r="F26" s="10">
        <f t="shared" si="0"/>
        <v>0.42195538665060278</v>
      </c>
      <c r="G26" s="10">
        <f t="shared" si="5"/>
        <v>6.2306034414260955E-2</v>
      </c>
      <c r="I26" s="13">
        <f t="shared" si="1"/>
        <v>738.30120891255535</v>
      </c>
      <c r="J26" s="11">
        <f>(SUM(G27:$G$79)*$I$1)</f>
        <v>785.13511516222798</v>
      </c>
      <c r="K26" s="11">
        <f t="shared" si="6"/>
        <v>-311.53017207130483</v>
      </c>
      <c r="Q26" s="65">
        <v>22</v>
      </c>
      <c r="R26" s="66">
        <f>Inputs!H29</f>
        <v>4.73E-4</v>
      </c>
    </row>
    <row r="27" spans="1:18" x14ac:dyDescent="0.25">
      <c r="A27">
        <f t="shared" si="2"/>
        <v>97</v>
      </c>
      <c r="B27">
        <v>23</v>
      </c>
      <c r="C27" s="12">
        <f t="shared" si="3"/>
        <v>0.214751</v>
      </c>
      <c r="D27" s="10">
        <f t="shared" si="4"/>
        <v>0.78524899999999997</v>
      </c>
      <c r="E27" s="198">
        <f>IF(B27&lt;=$C$2,1,IF(B27=$C$2+1,PRODUCT($D$5:D27),E26*D27))</f>
        <v>0.11595005719947504</v>
      </c>
      <c r="F27" s="10">
        <f t="shared" si="0"/>
        <v>0.40572633331788732</v>
      </c>
      <c r="G27" s="10">
        <f t="shared" si="5"/>
        <v>4.7043991555542314E-2</v>
      </c>
      <c r="I27" s="13">
        <f t="shared" si="1"/>
        <v>579.75028599737516</v>
      </c>
      <c r="J27" s="11">
        <f>(SUM(G28:$G$79)*$I$1)</f>
        <v>549.91515738451642</v>
      </c>
      <c r="K27" s="11">
        <f t="shared" si="6"/>
        <v>-235.21995777771156</v>
      </c>
      <c r="Q27" s="65">
        <v>23</v>
      </c>
      <c r="R27" s="66">
        <f>Inputs!H30</f>
        <v>5.13E-4</v>
      </c>
    </row>
    <row r="28" spans="1:18" x14ac:dyDescent="0.25">
      <c r="A28">
        <f t="shared" si="2"/>
        <v>98</v>
      </c>
      <c r="B28">
        <v>24</v>
      </c>
      <c r="C28" s="12">
        <f t="shared" si="3"/>
        <v>0.23250699999999999</v>
      </c>
      <c r="D28" s="10">
        <f t="shared" si="4"/>
        <v>0.76749299999999998</v>
      </c>
      <c r="E28" s="198">
        <f>IF(B28&lt;=$C$2,1,IF(B28=$C$2+1,PRODUCT($D$5:D28),E27*D28))</f>
        <v>8.8990857250196703E-2</v>
      </c>
      <c r="F28" s="10">
        <f t="shared" si="0"/>
        <v>0.39012147434412242</v>
      </c>
      <c r="G28" s="10">
        <f t="shared" si="5"/>
        <v>3.4717244433594072E-2</v>
      </c>
      <c r="I28" s="13">
        <f t="shared" si="1"/>
        <v>444.9542862509835</v>
      </c>
      <c r="J28" s="11">
        <f>(SUM(G29:$G$79)*$I$1)</f>
        <v>376.32893521654614</v>
      </c>
      <c r="K28" s="11">
        <f t="shared" si="6"/>
        <v>-173.58622216797028</v>
      </c>
      <c r="Q28" s="65">
        <v>24</v>
      </c>
      <c r="R28" s="66">
        <f>Inputs!H31</f>
        <v>5.5400000000000002E-4</v>
      </c>
    </row>
    <row r="29" spans="1:18" x14ac:dyDescent="0.25">
      <c r="A29">
        <f t="shared" si="2"/>
        <v>99</v>
      </c>
      <c r="B29">
        <v>25</v>
      </c>
      <c r="C29" s="12">
        <f t="shared" si="3"/>
        <v>0.25039699999999998</v>
      </c>
      <c r="D29" s="10">
        <f t="shared" si="4"/>
        <v>0.74960300000000002</v>
      </c>
      <c r="E29" s="198">
        <f>IF(B29&lt;=$C$2,1,IF(B29=$C$2+1,PRODUCT($D$5:D29),E28*D29))</f>
        <v>6.6707813567319196E-2</v>
      </c>
      <c r="F29" s="10">
        <f t="shared" si="0"/>
        <v>0.37511680225396377</v>
      </c>
      <c r="G29" s="10">
        <f t="shared" si="5"/>
        <v>2.5023221710726355E-2</v>
      </c>
      <c r="I29" s="13">
        <f t="shared" si="1"/>
        <v>333.53906783659596</v>
      </c>
      <c r="J29" s="11">
        <f>(SUM(G30:$G$79)*$I$1)</f>
        <v>251.21282666291441</v>
      </c>
      <c r="K29" s="11">
        <f t="shared" si="6"/>
        <v>-125.11610855363173</v>
      </c>
      <c r="Q29" s="65">
        <v>25</v>
      </c>
      <c r="R29" s="66">
        <f>Inputs!H32</f>
        <v>6.02E-4</v>
      </c>
    </row>
    <row r="30" spans="1:18" x14ac:dyDescent="0.25">
      <c r="A30">
        <f t="shared" si="2"/>
        <v>100</v>
      </c>
      <c r="B30">
        <v>26</v>
      </c>
      <c r="C30" s="12">
        <f t="shared" si="3"/>
        <v>0.26860699999999998</v>
      </c>
      <c r="D30" s="10">
        <f t="shared" si="4"/>
        <v>0.73139299999999996</v>
      </c>
      <c r="E30" s="198">
        <f>IF(B30&lt;=$C$2,1,IF(B30=$C$2+1,PRODUCT($D$5:D30),E29*D30))</f>
        <v>4.8789627888442287E-2</v>
      </c>
      <c r="F30" s="10">
        <f t="shared" si="0"/>
        <v>0.36068923293650368</v>
      </c>
      <c r="G30" s="10">
        <f t="shared" si="5"/>
        <v>1.7597893458339696E-2</v>
      </c>
      <c r="I30" s="13">
        <f t="shared" si="1"/>
        <v>243.94813944221144</v>
      </c>
      <c r="J30" s="11">
        <f>(SUM(G31:$G$79)*$I$1)</f>
        <v>163.22335937121593</v>
      </c>
      <c r="K30" s="11">
        <f t="shared" si="6"/>
        <v>-87.989467291698475</v>
      </c>
      <c r="Q30" s="65">
        <v>26</v>
      </c>
      <c r="R30" s="66">
        <f>Inputs!H33</f>
        <v>6.5499999999999998E-4</v>
      </c>
    </row>
    <row r="31" spans="1:18" x14ac:dyDescent="0.25">
      <c r="A31">
        <f t="shared" si="2"/>
        <v>101</v>
      </c>
      <c r="B31">
        <v>27</v>
      </c>
      <c r="C31" s="12">
        <f t="shared" si="3"/>
        <v>0.290016</v>
      </c>
      <c r="D31" s="10">
        <f t="shared" si="4"/>
        <v>0.70998399999999995</v>
      </c>
      <c r="E31" s="198">
        <f>IF(B31&lt;=$C$2,1,IF(B31=$C$2+1,PRODUCT($D$5:D31),E30*D31))</f>
        <v>3.4639855166747807E-2</v>
      </c>
      <c r="F31" s="10">
        <f t="shared" si="0"/>
        <v>0.3468165701312535</v>
      </c>
      <c r="G31" s="10">
        <f t="shared" si="5"/>
        <v>1.2013675758774855E-2</v>
      </c>
      <c r="I31" s="13">
        <f t="shared" si="1"/>
        <v>173.19927583373902</v>
      </c>
      <c r="J31" s="11">
        <f>(SUM(G32:$G$79)*$I$1)</f>
        <v>103.15498057734165</v>
      </c>
      <c r="K31" s="11">
        <f t="shared" si="6"/>
        <v>-60.068378793874288</v>
      </c>
      <c r="Q31" s="65">
        <v>27</v>
      </c>
      <c r="R31" s="66">
        <f>Inputs!H34</f>
        <v>6.8800000000000003E-4</v>
      </c>
    </row>
    <row r="32" spans="1:18" x14ac:dyDescent="0.25">
      <c r="A32">
        <f t="shared" si="2"/>
        <v>102</v>
      </c>
      <c r="B32">
        <v>28</v>
      </c>
      <c r="C32" s="12">
        <f t="shared" si="3"/>
        <v>0.31184899999999999</v>
      </c>
      <c r="D32" s="10">
        <f t="shared" si="4"/>
        <v>0.68815099999999996</v>
      </c>
      <c r="E32" s="198">
        <f>IF(B32&lt;=$C$2,1,IF(B32=$C$2+1,PRODUCT($D$5:D32),E31*D32))</f>
        <v>2.383745097285267E-2</v>
      </c>
      <c r="F32" s="10">
        <f t="shared" si="0"/>
        <v>0.3334774712800514</v>
      </c>
      <c r="G32" s="10">
        <f t="shared" si="5"/>
        <v>7.9492528721891095E-3</v>
      </c>
      <c r="I32" s="13">
        <f t="shared" si="1"/>
        <v>119.18725486426335</v>
      </c>
      <c r="J32" s="11">
        <f>(SUM(G33:$G$79)*$I$1)</f>
        <v>63.408716216396094</v>
      </c>
      <c r="K32" s="11">
        <f t="shared" si="6"/>
        <v>-39.746264360945553</v>
      </c>
      <c r="Q32" s="65">
        <v>28</v>
      </c>
      <c r="R32" s="66">
        <f>Inputs!H35</f>
        <v>7.1000000000000002E-4</v>
      </c>
    </row>
    <row r="33" spans="1:18" x14ac:dyDescent="0.25">
      <c r="A33">
        <f t="shared" si="2"/>
        <v>103</v>
      </c>
      <c r="B33">
        <v>29</v>
      </c>
      <c r="C33" s="12">
        <f t="shared" si="3"/>
        <v>0.33396199999999998</v>
      </c>
      <c r="D33" s="10">
        <f t="shared" si="4"/>
        <v>0.66603800000000002</v>
      </c>
      <c r="E33" s="198">
        <f>IF(B33&lt;=$C$2,1,IF(B33=$C$2+1,PRODUCT($D$5:D33),E32*D33))</f>
        <v>1.5876648171056846E-2</v>
      </c>
      <c r="F33" s="10">
        <f t="shared" si="0"/>
        <v>0.32065141469235708</v>
      </c>
      <c r="G33" s="10">
        <f t="shared" si="5"/>
        <v>5.0908696966222014E-3</v>
      </c>
      <c r="I33" s="13">
        <f t="shared" si="1"/>
        <v>79.383240855284228</v>
      </c>
      <c r="J33" s="11">
        <f>(SUM(G34:$G$79)*$I$1)</f>
        <v>37.954367733285082</v>
      </c>
      <c r="K33" s="11">
        <f t="shared" si="6"/>
        <v>-25.454348483111012</v>
      </c>
      <c r="Q33" s="65">
        <v>29</v>
      </c>
      <c r="R33" s="66">
        <f>Inputs!H36</f>
        <v>7.27E-4</v>
      </c>
    </row>
    <row r="34" spans="1:18" x14ac:dyDescent="0.25">
      <c r="A34">
        <f t="shared" si="2"/>
        <v>104</v>
      </c>
      <c r="B34">
        <v>30</v>
      </c>
      <c r="C34" s="12">
        <f t="shared" si="3"/>
        <v>0.356207</v>
      </c>
      <c r="D34" s="10">
        <f t="shared" si="4"/>
        <v>0.64379300000000006</v>
      </c>
      <c r="E34" s="198">
        <f>IF(B34&lt;=$C$2,1,IF(B34=$C$2+1,PRODUCT($D$5:D34),E33*D34))</f>
        <v>1.0221274955989202E-2</v>
      </c>
      <c r="F34" s="10">
        <f t="shared" si="0"/>
        <v>0.30831866797342034</v>
      </c>
      <c r="G34" s="10">
        <f t="shared" si="5"/>
        <v>3.1514098794206712E-3</v>
      </c>
      <c r="I34" s="13">
        <f t="shared" si="1"/>
        <v>51.106374779946009</v>
      </c>
      <c r="J34" s="11">
        <f>(SUM(G35:$G$79)*$I$1)</f>
        <v>22.197318336181727</v>
      </c>
      <c r="K34" s="11">
        <f t="shared" si="6"/>
        <v>-15.757049397103355</v>
      </c>
      <c r="Q34" s="65">
        <v>30</v>
      </c>
      <c r="R34" s="66">
        <f>Inputs!H37</f>
        <v>7.4100000000000001E-4</v>
      </c>
    </row>
    <row r="35" spans="1:18" x14ac:dyDescent="0.25">
      <c r="A35">
        <f t="shared" si="2"/>
        <v>105</v>
      </c>
      <c r="B35">
        <v>31</v>
      </c>
      <c r="C35" s="12">
        <f t="shared" si="3"/>
        <v>0.38</v>
      </c>
      <c r="D35" s="10">
        <f t="shared" si="4"/>
        <v>0.62</v>
      </c>
      <c r="E35" s="198">
        <f>IF(B35&lt;=$C$2,1,IF(B35=$C$2+1,PRODUCT($D$5:D35),E34*D35))</f>
        <v>6.3371904727133046E-3</v>
      </c>
      <c r="F35" s="10">
        <f t="shared" si="0"/>
        <v>0.29646025766675027</v>
      </c>
      <c r="G35" s="10">
        <f t="shared" si="5"/>
        <v>1.8787251204238613E-3</v>
      </c>
      <c r="I35" s="13">
        <f t="shared" si="1"/>
        <v>31.685952363566525</v>
      </c>
      <c r="J35" s="11">
        <f>(SUM(G36:$G$79)*$I$1)</f>
        <v>12.803692734062423</v>
      </c>
      <c r="K35" s="11">
        <f t="shared" si="6"/>
        <v>-9.3936256021193039</v>
      </c>
      <c r="Q35" s="65">
        <v>31</v>
      </c>
      <c r="R35" s="66">
        <f>Inputs!H38</f>
        <v>7.5100000000000004E-4</v>
      </c>
    </row>
    <row r="36" spans="1:18" x14ac:dyDescent="0.25">
      <c r="A36">
        <f t="shared" si="2"/>
        <v>106</v>
      </c>
      <c r="B36">
        <v>32</v>
      </c>
      <c r="C36" s="12">
        <f t="shared" si="3"/>
        <v>0.4</v>
      </c>
      <c r="D36" s="10">
        <f t="shared" si="4"/>
        <v>0.6</v>
      </c>
      <c r="E36" s="198">
        <f>IF(B36&lt;=$C$2,1,IF(B36=$C$2+1,PRODUCT($D$5:D36),E35*D36))</f>
        <v>3.8023142836279824E-3</v>
      </c>
      <c r="F36" s="10">
        <f t="shared" si="0"/>
        <v>0.28505794006418295</v>
      </c>
      <c r="G36" s="10">
        <f t="shared" si="5"/>
        <v>1.083879877167612E-3</v>
      </c>
      <c r="I36" s="13">
        <f t="shared" si="1"/>
        <v>19.011571418139912</v>
      </c>
      <c r="J36" s="11">
        <f>(SUM(G37:$G$79)*$I$1)</f>
        <v>7.3842933482243582</v>
      </c>
      <c r="K36" s="11">
        <f t="shared" si="6"/>
        <v>-5.4193993858380649</v>
      </c>
      <c r="Q36" s="65">
        <v>32</v>
      </c>
      <c r="R36" s="66">
        <f>Inputs!H39</f>
        <v>7.54E-4</v>
      </c>
    </row>
    <row r="37" spans="1:18" x14ac:dyDescent="0.25">
      <c r="A37">
        <f t="shared" si="2"/>
        <v>107</v>
      </c>
      <c r="B37">
        <v>33</v>
      </c>
      <c r="C37" s="12">
        <f t="shared" si="3"/>
        <v>0.4</v>
      </c>
      <c r="D37" s="10">
        <f t="shared" si="4"/>
        <v>0.6</v>
      </c>
      <c r="E37" s="198">
        <f>IF(B37&lt;=$C$2,1,IF(B37=$C$2+1,PRODUCT($D$5:D37),E36*D37))</f>
        <v>2.2813885701767895E-3</v>
      </c>
      <c r="F37" s="10">
        <f t="shared" si="0"/>
        <v>0.27409417313863743</v>
      </c>
      <c r="G37" s="10">
        <f t="shared" si="5"/>
        <v>6.2531531375054549E-4</v>
      </c>
      <c r="I37" s="13">
        <f t="shared" si="1"/>
        <v>11.406942850883947</v>
      </c>
      <c r="J37" s="11">
        <f>(SUM(G38:$G$79)*$I$1)</f>
        <v>4.2577167794716324</v>
      </c>
      <c r="K37" s="11">
        <f t="shared" si="6"/>
        <v>-3.1265765687527258</v>
      </c>
      <c r="Q37" s="65">
        <v>33</v>
      </c>
      <c r="R37" s="66">
        <f>Inputs!H40</f>
        <v>7.5600000000000005E-4</v>
      </c>
    </row>
    <row r="38" spans="1:18" x14ac:dyDescent="0.25">
      <c r="A38">
        <f t="shared" si="2"/>
        <v>108</v>
      </c>
      <c r="B38">
        <v>34</v>
      </c>
      <c r="C38" s="12">
        <f t="shared" si="3"/>
        <v>0.4</v>
      </c>
      <c r="D38" s="10">
        <f t="shared" si="4"/>
        <v>0.6</v>
      </c>
      <c r="E38" s="198">
        <f>IF(B38&lt;=$C$2,1,IF(B38=$C$2+1,PRODUCT($D$5:D38),E37*D38))</f>
        <v>1.3688331421060737E-3</v>
      </c>
      <c r="F38" s="10">
        <f t="shared" si="0"/>
        <v>0.26355208955638215</v>
      </c>
      <c r="G38" s="10">
        <f t="shared" si="5"/>
        <v>3.6075883485608393E-4</v>
      </c>
      <c r="I38" s="13">
        <f t="shared" si="1"/>
        <v>6.844165710530369</v>
      </c>
      <c r="J38" s="11">
        <f>(SUM(G39:$G$79)*$I$1)</f>
        <v>2.4539226051912131</v>
      </c>
      <c r="K38" s="11">
        <f t="shared" si="6"/>
        <v>-1.8037941742804193</v>
      </c>
      <c r="Q38" s="65">
        <v>34</v>
      </c>
      <c r="R38" s="66">
        <f>Inputs!H41</f>
        <v>7.5600000000000005E-4</v>
      </c>
    </row>
    <row r="39" spans="1:18" x14ac:dyDescent="0.25">
      <c r="A39">
        <f t="shared" si="2"/>
        <v>109</v>
      </c>
      <c r="B39">
        <v>35</v>
      </c>
      <c r="C39" s="12">
        <f t="shared" si="3"/>
        <v>0.4</v>
      </c>
      <c r="D39" s="10">
        <f t="shared" si="4"/>
        <v>0.6</v>
      </c>
      <c r="E39" s="198">
        <f>IF(B39&lt;=$C$2,1,IF(B39=$C$2+1,PRODUCT($D$5:D39),E38*D39))</f>
        <v>8.2129988526364424E-4</v>
      </c>
      <c r="F39" s="10">
        <f t="shared" si="0"/>
        <v>0.25341547072729048</v>
      </c>
      <c r="G39" s="10">
        <f t="shared" si="5"/>
        <v>2.0813009703235606E-4</v>
      </c>
      <c r="I39" s="13">
        <f t="shared" si="1"/>
        <v>4.1064994263182211</v>
      </c>
      <c r="J39" s="11">
        <f>(SUM(G40:$G$79)*$I$1)</f>
        <v>1.4132721200294327</v>
      </c>
      <c r="K39" s="11">
        <f t="shared" si="6"/>
        <v>-1.0406504851617804</v>
      </c>
      <c r="Q39" s="65">
        <v>35</v>
      </c>
      <c r="R39" s="66">
        <f>Inputs!H42</f>
        <v>7.5600000000000005E-4</v>
      </c>
    </row>
    <row r="40" spans="1:18" x14ac:dyDescent="0.25">
      <c r="A40">
        <f t="shared" si="2"/>
        <v>110</v>
      </c>
      <c r="B40">
        <v>36</v>
      </c>
      <c r="C40" s="12">
        <f t="shared" si="3"/>
        <v>0.4</v>
      </c>
      <c r="D40" s="10">
        <f t="shared" si="4"/>
        <v>0.6</v>
      </c>
      <c r="E40" s="198">
        <f>IF(B40&lt;=$C$2,1,IF(B40=$C$2+1,PRODUCT($D$5:D40),E39*D40))</f>
        <v>4.9277993115818652E-4</v>
      </c>
      <c r="F40" s="10">
        <f t="shared" si="0"/>
        <v>0.24366872185316396</v>
      </c>
      <c r="G40" s="10">
        <f t="shared" si="5"/>
        <v>1.2007505598020543E-4</v>
      </c>
      <c r="I40" s="13">
        <f t="shared" si="1"/>
        <v>2.4638996557909327</v>
      </c>
      <c r="J40" s="11">
        <f>(SUM(G41:$G$79)*$I$1)</f>
        <v>0.81289684012840524</v>
      </c>
      <c r="K40" s="11">
        <f t="shared" si="6"/>
        <v>-0.60037527990102746</v>
      </c>
      <c r="Q40" s="65">
        <v>36</v>
      </c>
      <c r="R40" s="66">
        <f>Inputs!H43</f>
        <v>7.5600000000000005E-4</v>
      </c>
    </row>
    <row r="41" spans="1:18" x14ac:dyDescent="0.25">
      <c r="A41">
        <f t="shared" si="2"/>
        <v>111</v>
      </c>
      <c r="B41">
        <v>37</v>
      </c>
      <c r="C41" s="12">
        <f t="shared" si="3"/>
        <v>0.4</v>
      </c>
      <c r="D41" s="10">
        <f t="shared" si="4"/>
        <v>0.6</v>
      </c>
      <c r="E41" s="198">
        <f>IF(B41&lt;=$C$2,1,IF(B41=$C$2+1,PRODUCT($D$5:D41),E40*D41))</f>
        <v>2.9566795869491192E-4</v>
      </c>
      <c r="F41" s="10">
        <f t="shared" si="0"/>
        <v>0.23429684793573452</v>
      </c>
      <c r="G41" s="10">
        <f t="shared" si="5"/>
        <v>6.9274070757810812E-5</v>
      </c>
      <c r="I41" s="13">
        <f t="shared" si="1"/>
        <v>1.4783397934745597</v>
      </c>
      <c r="J41" s="11">
        <f>(SUM(G42:$G$79)*$I$1)</f>
        <v>0.46652648633935118</v>
      </c>
      <c r="K41" s="11">
        <f t="shared" si="6"/>
        <v>-0.34637035378905406</v>
      </c>
      <c r="Q41" s="65">
        <v>37</v>
      </c>
      <c r="R41" s="66">
        <f>Inputs!H44</f>
        <v>7.5600000000000005E-4</v>
      </c>
    </row>
    <row r="42" spans="1:18" x14ac:dyDescent="0.25">
      <c r="A42">
        <f t="shared" si="2"/>
        <v>112</v>
      </c>
      <c r="B42">
        <v>38</v>
      </c>
      <c r="C42" s="12">
        <f t="shared" si="3"/>
        <v>0.4</v>
      </c>
      <c r="D42" s="10">
        <f t="shared" si="4"/>
        <v>0.6</v>
      </c>
      <c r="E42" s="198">
        <f>IF(B42&lt;=$C$2,1,IF(B42=$C$2+1,PRODUCT($D$5:D42),E41*D42))</f>
        <v>1.7740077521694714E-4</v>
      </c>
      <c r="F42" s="10">
        <f t="shared" si="0"/>
        <v>0.22528543070743706</v>
      </c>
      <c r="G42" s="10">
        <f t="shared" si="5"/>
        <v>3.9965810052583165E-5</v>
      </c>
      <c r="I42" s="13">
        <f t="shared" si="1"/>
        <v>0.88700387608473574</v>
      </c>
      <c r="J42" s="11">
        <f>(SUM(G43:$G$79)*$I$1)</f>
        <v>0.26669743607643542</v>
      </c>
      <c r="K42" s="11">
        <f t="shared" si="6"/>
        <v>-0.19982905026291575</v>
      </c>
      <c r="Q42" s="65">
        <v>38</v>
      </c>
      <c r="R42" s="66">
        <f>Inputs!H45</f>
        <v>7.5600000000000005E-4</v>
      </c>
    </row>
    <row r="43" spans="1:18" x14ac:dyDescent="0.25">
      <c r="A43">
        <f t="shared" si="2"/>
        <v>113</v>
      </c>
      <c r="B43">
        <v>39</v>
      </c>
      <c r="C43" s="12">
        <f t="shared" si="3"/>
        <v>0.4</v>
      </c>
      <c r="D43" s="10">
        <f t="shared" si="4"/>
        <v>0.6</v>
      </c>
      <c r="E43" s="198">
        <f>IF(B43&lt;=$C$2,1,IF(B43=$C$2+1,PRODUCT($D$5:D43),E42*D43))</f>
        <v>1.0644046513016829E-4</v>
      </c>
      <c r="F43" s="10">
        <f t="shared" si="0"/>
        <v>0.21662060644945874</v>
      </c>
      <c r="G43" s="10">
        <f t="shared" si="5"/>
        <v>2.3057198107259519E-5</v>
      </c>
      <c r="I43" s="13">
        <f t="shared" si="1"/>
        <v>0.53220232565084147</v>
      </c>
      <c r="J43" s="11">
        <f>(SUM(G44:$G$79)*$I$1)</f>
        <v>0.1514114455401378</v>
      </c>
      <c r="K43" s="11">
        <f t="shared" si="6"/>
        <v>-0.11528599053629762</v>
      </c>
      <c r="Q43" s="65">
        <v>39</v>
      </c>
      <c r="R43" s="66">
        <f>Inputs!H46</f>
        <v>8.0000000000000004E-4</v>
      </c>
    </row>
    <row r="44" spans="1:18" x14ac:dyDescent="0.25">
      <c r="A44">
        <f t="shared" si="2"/>
        <v>114</v>
      </c>
      <c r="B44">
        <v>40</v>
      </c>
      <c r="C44" s="12">
        <f t="shared" si="3"/>
        <v>0.4</v>
      </c>
      <c r="D44" s="10">
        <f t="shared" si="4"/>
        <v>0.6</v>
      </c>
      <c r="E44" s="198">
        <f>IF(B44&lt;=$C$2,1,IF(B44=$C$2+1,PRODUCT($D$5:D44),E43*D44))</f>
        <v>6.3864279078100971E-5</v>
      </c>
      <c r="F44" s="10">
        <f t="shared" si="0"/>
        <v>0.20828904466294101</v>
      </c>
      <c r="G44" s="10">
        <f t="shared" si="5"/>
        <v>1.3302229677265102E-5</v>
      </c>
      <c r="I44" s="13">
        <f t="shared" si="1"/>
        <v>0.31932139539050486</v>
      </c>
      <c r="J44" s="11">
        <f>(SUM(G45:$G$79)*$I$1)</f>
        <v>8.4900297153812296E-2</v>
      </c>
      <c r="K44" s="11">
        <f t="shared" si="6"/>
        <v>-6.6511148386325505E-2</v>
      </c>
      <c r="Q44" s="65">
        <v>40</v>
      </c>
      <c r="R44" s="66">
        <f>Inputs!H47</f>
        <v>8.5899999999999995E-4</v>
      </c>
    </row>
    <row r="45" spans="1:18" x14ac:dyDescent="0.25">
      <c r="A45">
        <f t="shared" si="2"/>
        <v>115</v>
      </c>
      <c r="B45">
        <v>41</v>
      </c>
      <c r="C45" s="12">
        <f t="shared" si="3"/>
        <v>0.4</v>
      </c>
      <c r="D45" s="10">
        <f t="shared" si="4"/>
        <v>0.6</v>
      </c>
      <c r="E45" s="198">
        <f>IF(B45&lt;=$C$2,1,IF(B45=$C$2+1,PRODUCT($D$5:D45),E44*D45))</f>
        <v>3.8318567446860579E-5</v>
      </c>
      <c r="F45" s="10">
        <f t="shared" si="0"/>
        <v>0.20027792756052021</v>
      </c>
      <c r="G45" s="10">
        <f t="shared" si="5"/>
        <v>7.6743632753452502E-6</v>
      </c>
      <c r="I45" s="13">
        <f t="shared" si="1"/>
        <v>0.1915928372343029</v>
      </c>
      <c r="J45" s="11">
        <f>(SUM(G46:$G$79)*$I$1)</f>
        <v>4.6528480777086038E-2</v>
      </c>
      <c r="K45" s="11">
        <f t="shared" si="6"/>
        <v>-3.8371816376726257E-2</v>
      </c>
      <c r="Q45" s="65">
        <v>41</v>
      </c>
      <c r="R45" s="66">
        <f>Inputs!H48</f>
        <v>9.2599999999999996E-4</v>
      </c>
    </row>
    <row r="46" spans="1:18" x14ac:dyDescent="0.25">
      <c r="A46">
        <f t="shared" si="2"/>
        <v>116</v>
      </c>
      <c r="B46">
        <v>42</v>
      </c>
      <c r="C46" s="12">
        <f t="shared" si="3"/>
        <v>0.4</v>
      </c>
      <c r="D46" s="10">
        <f t="shared" si="4"/>
        <v>0.6</v>
      </c>
      <c r="E46" s="198">
        <f>IF(B46&lt;=$C$2,1,IF(B46=$C$2+1,PRODUCT($D$5:D46),E45*D46))</f>
        <v>2.2991140468116347E-5</v>
      </c>
      <c r="F46" s="10">
        <f t="shared" si="0"/>
        <v>0.19257493034665407</v>
      </c>
      <c r="G46" s="10">
        <f t="shared" si="5"/>
        <v>4.4275172742376454E-6</v>
      </c>
      <c r="I46" s="13">
        <f t="shared" si="1"/>
        <v>0.11495570234058174</v>
      </c>
      <c r="J46" s="11">
        <f>(SUM(G47:$G$79)*$I$1)</f>
        <v>2.4390894405897808E-2</v>
      </c>
      <c r="K46" s="11">
        <f t="shared" si="6"/>
        <v>-2.213758637118823E-2</v>
      </c>
      <c r="Q46" s="65">
        <v>42</v>
      </c>
      <c r="R46" s="66">
        <f>Inputs!H49</f>
        <v>9.990000000000001E-4</v>
      </c>
    </row>
    <row r="47" spans="1:18" x14ac:dyDescent="0.25">
      <c r="A47">
        <f t="shared" si="2"/>
        <v>117</v>
      </c>
      <c r="B47">
        <v>43</v>
      </c>
      <c r="C47" s="12">
        <f t="shared" si="3"/>
        <v>0.4</v>
      </c>
      <c r="D47" s="10">
        <f t="shared" si="4"/>
        <v>0.6</v>
      </c>
      <c r="E47" s="198">
        <f>IF(B47&lt;=$C$2,1,IF(B47=$C$2+1,PRODUCT($D$5:D47),E46*D47))</f>
        <v>1.3794684280869808E-5</v>
      </c>
      <c r="F47" s="10">
        <f t="shared" si="0"/>
        <v>0.18516820225639813</v>
      </c>
      <c r="G47" s="10">
        <f t="shared" si="5"/>
        <v>2.5543368889832564E-6</v>
      </c>
      <c r="I47" s="13">
        <f t="shared" si="1"/>
        <v>6.8973421404349033E-2</v>
      </c>
      <c r="J47" s="11">
        <f>(SUM(G48:$G$79)*$I$1)</f>
        <v>1.1619209960981527E-2</v>
      </c>
      <c r="K47" s="11">
        <f t="shared" si="6"/>
        <v>-1.2771684444916281E-2</v>
      </c>
      <c r="Q47" s="65">
        <v>43</v>
      </c>
      <c r="R47" s="66">
        <f>Inputs!H50</f>
        <v>1.0690000000000001E-3</v>
      </c>
    </row>
    <row r="48" spans="1:18" x14ac:dyDescent="0.25">
      <c r="A48">
        <f t="shared" si="2"/>
        <v>118</v>
      </c>
      <c r="B48">
        <v>44</v>
      </c>
      <c r="C48" s="12">
        <f t="shared" si="3"/>
        <v>0.4</v>
      </c>
      <c r="D48" s="10">
        <f t="shared" si="4"/>
        <v>0.6</v>
      </c>
      <c r="E48" s="198">
        <f>IF(B48&lt;=$C$2,1,IF(B48=$C$2+1,PRODUCT($D$5:D48),E47*D48))</f>
        <v>8.2768105685218844E-6</v>
      </c>
      <c r="F48" s="10">
        <f t="shared" si="0"/>
        <v>0.17804634832345972</v>
      </c>
      <c r="G48" s="10">
        <f t="shared" si="5"/>
        <v>1.4736558974903401E-6</v>
      </c>
      <c r="I48" s="13">
        <f t="shared" si="1"/>
        <v>4.1384052842609424E-2</v>
      </c>
      <c r="J48" s="11">
        <f>(SUM(G49:$G$79)*$I$1)</f>
        <v>4.2509304735298264E-3</v>
      </c>
      <c r="K48" s="11">
        <f t="shared" si="6"/>
        <v>-7.3682794874517007E-3</v>
      </c>
      <c r="Q48" s="65">
        <v>44</v>
      </c>
      <c r="R48" s="66">
        <f>Inputs!H51</f>
        <v>1.142E-3</v>
      </c>
    </row>
    <row r="49" spans="1:18" x14ac:dyDescent="0.25">
      <c r="A49">
        <f t="shared" si="2"/>
        <v>119</v>
      </c>
      <c r="B49">
        <v>45</v>
      </c>
      <c r="C49" s="12">
        <f t="shared" si="3"/>
        <v>0.4</v>
      </c>
      <c r="D49" s="10">
        <f t="shared" si="4"/>
        <v>0.6</v>
      </c>
      <c r="E49" s="198">
        <f>IF(B49&lt;=$C$2,1,IF(B49=$C$2+1,PRODUCT($D$5:D49),E48*D49))</f>
        <v>4.9660863411131307E-6</v>
      </c>
      <c r="F49" s="10">
        <f t="shared" si="0"/>
        <v>0.17119841184948048</v>
      </c>
      <c r="G49" s="10">
        <f t="shared" si="5"/>
        <v>8.5018609470596531E-7</v>
      </c>
      <c r="I49" s="13">
        <f t="shared" si="1"/>
        <v>2.4830431705565655E-2</v>
      </c>
      <c r="J49" s="11">
        <f>(SUM(G50:$G$79)*$I$1)</f>
        <v>0</v>
      </c>
      <c r="K49" s="11">
        <f t="shared" si="6"/>
        <v>-4.2509304735298264E-3</v>
      </c>
      <c r="Q49" s="65">
        <v>45</v>
      </c>
      <c r="R49" s="66">
        <f>Inputs!H52</f>
        <v>1.219E-3</v>
      </c>
    </row>
    <row r="50" spans="1:18" x14ac:dyDescent="0.25">
      <c r="A50">
        <f t="shared" si="2"/>
        <v>120</v>
      </c>
      <c r="B50">
        <v>46</v>
      </c>
      <c r="C50" s="12">
        <f t="shared" si="3"/>
        <v>1</v>
      </c>
      <c r="D50" s="10">
        <f t="shared" si="4"/>
        <v>0</v>
      </c>
      <c r="E50" s="198">
        <f>IF(B50&lt;=$C$2,1,IF(B50=$C$2+1,PRODUCT($D$5:D50),E49*D50))</f>
        <v>0</v>
      </c>
      <c r="F50" s="10">
        <f t="shared" si="0"/>
        <v>0</v>
      </c>
      <c r="G50" s="10">
        <f t="shared" si="5"/>
        <v>0</v>
      </c>
      <c r="I50" s="13">
        <f t="shared" si="1"/>
        <v>0</v>
      </c>
      <c r="J50" s="11">
        <f>(SUM(G51:$G$79)*$I$1)</f>
        <v>0</v>
      </c>
      <c r="K50" s="11">
        <f t="shared" si="6"/>
        <v>0</v>
      </c>
      <c r="Q50" s="65">
        <v>46</v>
      </c>
      <c r="R50" s="66">
        <f>Inputs!H53</f>
        <v>1.3179999999999999E-3</v>
      </c>
    </row>
    <row r="51" spans="1:18" x14ac:dyDescent="0.25">
      <c r="C51" s="12"/>
      <c r="D51" s="10"/>
      <c r="E51" s="10"/>
      <c r="F51" s="10"/>
      <c r="G51" s="10"/>
      <c r="I51" s="13"/>
      <c r="J51" s="11"/>
      <c r="K51" s="11"/>
      <c r="Q51" s="65">
        <v>47</v>
      </c>
      <c r="R51" s="66">
        <f>Inputs!H54</f>
        <v>1.454E-3</v>
      </c>
    </row>
    <row r="52" spans="1:18" x14ac:dyDescent="0.25">
      <c r="C52" s="12"/>
      <c r="D52" s="10"/>
      <c r="E52" s="10"/>
      <c r="F52" s="10"/>
      <c r="G52" s="10"/>
      <c r="I52" s="13"/>
      <c r="J52" s="11"/>
      <c r="K52" s="11"/>
      <c r="Q52" s="65">
        <v>48</v>
      </c>
      <c r="R52" s="66">
        <f>Inputs!H55</f>
        <v>1.627E-3</v>
      </c>
    </row>
    <row r="53" spans="1:18" x14ac:dyDescent="0.25">
      <c r="C53" s="12"/>
      <c r="D53" s="10"/>
      <c r="E53" s="10"/>
      <c r="F53" s="10"/>
      <c r="G53" s="10"/>
      <c r="I53" s="13"/>
      <c r="J53" s="11"/>
      <c r="K53" s="11"/>
      <c r="Q53" s="65">
        <v>49</v>
      </c>
      <c r="R53" s="66">
        <f>Inputs!H56</f>
        <v>1.8289999999999999E-3</v>
      </c>
    </row>
    <row r="54" spans="1:18" x14ac:dyDescent="0.25">
      <c r="C54" s="12"/>
      <c r="D54" s="10"/>
      <c r="E54" s="10"/>
      <c r="F54" s="10"/>
      <c r="G54" s="10"/>
      <c r="I54" s="13"/>
      <c r="J54" s="11"/>
      <c r="K54" s="11"/>
      <c r="Q54" s="65">
        <v>50</v>
      </c>
      <c r="R54" s="66">
        <f>Inputs!H57</f>
        <v>2.0569999999999998E-3</v>
      </c>
    </row>
    <row r="55" spans="1:18" x14ac:dyDescent="0.25">
      <c r="C55" s="12"/>
      <c r="D55" s="10"/>
      <c r="E55" s="10"/>
      <c r="F55" s="10"/>
      <c r="G55" s="10"/>
      <c r="I55" s="13"/>
      <c r="J55" s="11"/>
      <c r="K55" s="11"/>
      <c r="Q55" s="65">
        <v>51</v>
      </c>
      <c r="R55" s="66">
        <f>Inputs!H58</f>
        <v>2.3019999999999998E-3</v>
      </c>
    </row>
    <row r="56" spans="1:18" x14ac:dyDescent="0.25">
      <c r="C56" s="12"/>
      <c r="D56" s="10"/>
      <c r="E56" s="10"/>
      <c r="F56" s="10"/>
      <c r="G56" s="10"/>
      <c r="I56" s="13"/>
      <c r="J56" s="11"/>
      <c r="K56" s="11"/>
      <c r="Q56" s="65">
        <v>52</v>
      </c>
      <c r="R56" s="66">
        <f>Inputs!H59</f>
        <v>2.545E-3</v>
      </c>
    </row>
    <row r="57" spans="1:18" x14ac:dyDescent="0.25">
      <c r="C57" s="12"/>
      <c r="D57" s="10"/>
      <c r="E57" s="10"/>
      <c r="F57" s="10"/>
      <c r="G57" s="10"/>
      <c r="I57" s="13"/>
      <c r="J57" s="11"/>
      <c r="K57" s="11"/>
      <c r="Q57" s="65">
        <v>53</v>
      </c>
      <c r="R57" s="66">
        <f>Inputs!H60</f>
        <v>2.7789999999999998E-3</v>
      </c>
    </row>
    <row r="58" spans="1:18" x14ac:dyDescent="0.25">
      <c r="C58" s="12"/>
      <c r="D58" s="10"/>
      <c r="E58" s="10"/>
      <c r="F58" s="10"/>
      <c r="G58" s="10"/>
      <c r="I58" s="13"/>
      <c r="J58" s="11"/>
      <c r="K58" s="11"/>
      <c r="Q58" s="65">
        <v>54</v>
      </c>
      <c r="R58" s="66">
        <f>Inputs!H61</f>
        <v>3.0109999999999998E-3</v>
      </c>
    </row>
    <row r="59" spans="1:18" x14ac:dyDescent="0.25">
      <c r="C59" s="12"/>
      <c r="D59" s="10"/>
      <c r="E59" s="10"/>
      <c r="F59" s="10"/>
      <c r="G59" s="10"/>
      <c r="I59" s="13"/>
      <c r="J59" s="11"/>
      <c r="K59" s="11"/>
      <c r="Q59" s="65">
        <v>55</v>
      </c>
      <c r="R59" s="66">
        <f>Inputs!H62</f>
        <v>3.2539999999999999E-3</v>
      </c>
    </row>
    <row r="60" spans="1:18" x14ac:dyDescent="0.25">
      <c r="C60" s="12"/>
      <c r="D60" s="10"/>
      <c r="E60" s="10"/>
      <c r="F60" s="10"/>
      <c r="G60" s="10"/>
      <c r="I60" s="13"/>
      <c r="J60" s="11"/>
      <c r="K60" s="11"/>
      <c r="Q60" s="65">
        <v>56</v>
      </c>
      <c r="R60" s="66">
        <f>Inputs!H63</f>
        <v>3.529E-3</v>
      </c>
    </row>
    <row r="61" spans="1:18" x14ac:dyDescent="0.25">
      <c r="C61" s="12"/>
      <c r="D61" s="10"/>
      <c r="E61" s="10"/>
      <c r="F61" s="10"/>
      <c r="G61" s="10"/>
      <c r="I61" s="13"/>
      <c r="J61" s="11"/>
      <c r="K61" s="11"/>
      <c r="Q61" s="65">
        <v>57</v>
      </c>
      <c r="R61" s="66">
        <f>Inputs!H64</f>
        <v>3.8449999999999999E-3</v>
      </c>
    </row>
    <row r="62" spans="1:18" x14ac:dyDescent="0.25">
      <c r="C62" s="12"/>
      <c r="D62" s="10"/>
      <c r="E62" s="10"/>
      <c r="F62" s="10"/>
      <c r="G62" s="10"/>
      <c r="I62" s="13"/>
      <c r="J62" s="11"/>
      <c r="K62" s="11"/>
      <c r="Q62" s="65">
        <v>58</v>
      </c>
      <c r="R62" s="66">
        <f>Inputs!H65</f>
        <v>4.2129999999999997E-3</v>
      </c>
    </row>
    <row r="63" spans="1:18" x14ac:dyDescent="0.25">
      <c r="C63" s="12"/>
      <c r="D63" s="10"/>
      <c r="E63" s="10"/>
      <c r="F63" s="10"/>
      <c r="G63" s="10"/>
      <c r="I63" s="13"/>
      <c r="J63" s="11"/>
      <c r="K63" s="11"/>
      <c r="Q63" s="65">
        <v>59</v>
      </c>
      <c r="R63" s="66">
        <f>Inputs!H66</f>
        <v>4.6309999999999997E-3</v>
      </c>
    </row>
    <row r="64" spans="1: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c r="E133" s="35"/>
      <c r="F133" s="3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50">
    <cfRule type="cellIs" dxfId="21"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8" workbookViewId="0">
      <selection activeCell="D127" sqref="D127:F134"/>
    </sheetView>
  </sheetViews>
  <sheetFormatPr defaultRowHeight="15" x14ac:dyDescent="0.25"/>
  <cols>
    <col min="1" max="1" width="4.375" bestFit="1" customWidth="1"/>
    <col min="3" max="7" width="10" bestFit="1" customWidth="1"/>
    <col min="8" max="8" width="3.75" customWidth="1"/>
    <col min="9" max="10" width="13.25" customWidth="1"/>
    <col min="11" max="11" width="9.87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68</v>
      </c>
      <c r="I1" s="3">
        <v>5000</v>
      </c>
      <c r="J1" s="181" t="s">
        <v>173</v>
      </c>
      <c r="L1" s="1"/>
      <c r="M1" s="4"/>
      <c r="N1" s="4"/>
      <c r="O1" s="4"/>
      <c r="P1" s="4"/>
      <c r="Q1" s="64"/>
      <c r="R1" s="28"/>
    </row>
    <row r="2" spans="1:18" ht="15.75" customHeight="1" thickBot="1" x14ac:dyDescent="0.3">
      <c r="B2" t="s">
        <v>227</v>
      </c>
      <c r="C2">
        <v>0</v>
      </c>
      <c r="F2" s="5">
        <f>'Asset and Liability Durations'!N21</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6.5096747713148897</v>
      </c>
      <c r="N3" s="10"/>
      <c r="O3" s="10"/>
      <c r="P3" s="10"/>
      <c r="Q3" s="31"/>
      <c r="R3" s="32"/>
    </row>
    <row r="4" spans="1:18" x14ac:dyDescent="0.25">
      <c r="A4">
        <v>79</v>
      </c>
      <c r="B4">
        <v>0</v>
      </c>
      <c r="C4" s="8"/>
      <c r="D4" s="7"/>
      <c r="E4" s="7"/>
      <c r="F4" s="7"/>
      <c r="G4" s="10">
        <v>1</v>
      </c>
      <c r="J4" s="11">
        <f>(SUM(G5:$G$79)*$I$1)</f>
        <v>39377.838883655822</v>
      </c>
      <c r="Q4" s="65">
        <v>0</v>
      </c>
      <c r="R4" s="66">
        <f>Inputs!H7</f>
        <v>1.6050000000000001E-3</v>
      </c>
    </row>
    <row r="5" spans="1:18" ht="15.75" thickBot="1" x14ac:dyDescent="0.3">
      <c r="A5">
        <f>B5+$A$4</f>
        <v>80</v>
      </c>
      <c r="B5">
        <v>1</v>
      </c>
      <c r="C5" s="12">
        <f>VLOOKUP(A5,$Q$4:$R$124,2,FALSE)</f>
        <v>3.3234E-2</v>
      </c>
      <c r="D5" s="10">
        <f>1-C5</f>
        <v>0.96676600000000001</v>
      </c>
      <c r="E5" s="198">
        <f>IF(B5&lt;=$C$2,1,IF(B5=$C$2+1,PRODUCT($D$5:D5),E4*D5))</f>
        <v>0.96676600000000001</v>
      </c>
      <c r="F5" s="10">
        <f t="shared" ref="F5:F45" si="0">IF(D5=0,0,(1+$F$2)^-B5)</f>
        <v>0.96153846153846145</v>
      </c>
      <c r="G5" s="10">
        <f>F5*E5</f>
        <v>0.92958269230769219</v>
      </c>
      <c r="I5" s="13">
        <f t="shared" ref="I5:I45" si="1">E5*$I$1</f>
        <v>4833.83</v>
      </c>
      <c r="J5" s="11">
        <f>(SUM(G6:$G$79)*$I$1)</f>
        <v>34729.925422117361</v>
      </c>
      <c r="K5" s="11">
        <f>J5-J4</f>
        <v>-4647.913461538461</v>
      </c>
      <c r="L5" s="14" t="s">
        <v>16</v>
      </c>
      <c r="M5" s="14" t="s">
        <v>17</v>
      </c>
      <c r="N5" s="14" t="s">
        <v>18</v>
      </c>
      <c r="O5" s="14" t="s">
        <v>47</v>
      </c>
      <c r="Q5" s="65">
        <v>1</v>
      </c>
      <c r="R5" s="66">
        <f>Inputs!H8</f>
        <v>4.0099999999999999E-4</v>
      </c>
    </row>
    <row r="6" spans="1:18" x14ac:dyDescent="0.25">
      <c r="A6">
        <f t="shared" ref="A6:A45" si="2">B6+$A$4</f>
        <v>81</v>
      </c>
      <c r="B6">
        <v>2</v>
      </c>
      <c r="C6" s="12">
        <f t="shared" ref="C6:C45" si="3">VLOOKUP(A6,$Q$4:$R$124,2,FALSE)</f>
        <v>3.7532999999999997E-2</v>
      </c>
      <c r="D6" s="10">
        <f t="shared" ref="D6:D45" si="4">1-C6</f>
        <v>0.96246699999999996</v>
      </c>
      <c r="E6" s="198">
        <f>IF(B6&lt;=$C$2,1,IF(B6=$C$2+1,PRODUCT($D$5:D6),E5*D6))</f>
        <v>0.93048037172199993</v>
      </c>
      <c r="F6" s="10">
        <f t="shared" si="0"/>
        <v>0.92455621301775137</v>
      </c>
      <c r="G6" s="10">
        <f t="shared" ref="G6:G45" si="5">F6*E6</f>
        <v>0.86028140876664183</v>
      </c>
      <c r="I6" s="13">
        <f t="shared" si="1"/>
        <v>4652.4018586100001</v>
      </c>
      <c r="J6" s="11">
        <f>(SUM(G7:$G$79)*$I$1)</f>
        <v>30428.518378284152</v>
      </c>
      <c r="K6" s="11">
        <f t="shared" ref="K6:K45" si="6">J6-J5</f>
        <v>-4301.4070438332092</v>
      </c>
      <c r="L6" s="14">
        <v>2</v>
      </c>
      <c r="M6" s="54" t="s">
        <v>44</v>
      </c>
      <c r="N6" s="15">
        <f>SUM(I5:I7)</f>
        <v>13942.018562273282</v>
      </c>
      <c r="O6" s="16">
        <f>N6/SUM($N$6:$N$9)</f>
        <v>0.26939298348948948</v>
      </c>
      <c r="Q6" s="65">
        <v>2</v>
      </c>
      <c r="R6" s="66">
        <f>Inputs!H9</f>
        <v>2.7500000000000002E-4</v>
      </c>
    </row>
    <row r="7" spans="1:18" x14ac:dyDescent="0.25">
      <c r="A7">
        <f t="shared" si="2"/>
        <v>82</v>
      </c>
      <c r="B7">
        <v>3</v>
      </c>
      <c r="C7" s="12">
        <f t="shared" si="3"/>
        <v>4.2261E-2</v>
      </c>
      <c r="D7" s="10">
        <f t="shared" si="4"/>
        <v>0.95773900000000001</v>
      </c>
      <c r="E7" s="198">
        <f>IF(B7&lt;=$C$2,1,IF(B7=$C$2+1,PRODUCT($D$5:D7),E6*D7))</f>
        <v>0.89115734073265651</v>
      </c>
      <c r="F7" s="10">
        <f t="shared" si="0"/>
        <v>0.88899635867091487</v>
      </c>
      <c r="G7" s="10">
        <f t="shared" si="5"/>
        <v>0.79223563091418736</v>
      </c>
      <c r="I7" s="13">
        <f t="shared" si="1"/>
        <v>4455.7867036632824</v>
      </c>
      <c r="J7" s="11">
        <f>(SUM(G8:$G$79)*$I$1)</f>
        <v>26467.340223713218</v>
      </c>
      <c r="K7" s="11">
        <f t="shared" si="6"/>
        <v>-3961.1781545709346</v>
      </c>
      <c r="L7" s="14">
        <v>5</v>
      </c>
      <c r="M7" s="19" t="s">
        <v>45</v>
      </c>
      <c r="N7" s="17">
        <f>SUM(I8:I11)</f>
        <v>15563.659599674556</v>
      </c>
      <c r="O7" s="18">
        <f>N7/SUM($N$6:$N$9)</f>
        <v>0.30072694817066181</v>
      </c>
      <c r="Q7" s="65">
        <v>3</v>
      </c>
      <c r="R7" s="66">
        <f>Inputs!H10</f>
        <v>2.2900000000000001E-4</v>
      </c>
    </row>
    <row r="8" spans="1:18" x14ac:dyDescent="0.25">
      <c r="A8">
        <f t="shared" si="2"/>
        <v>83</v>
      </c>
      <c r="B8">
        <v>4</v>
      </c>
      <c r="C8" s="12">
        <f t="shared" si="3"/>
        <v>4.7440999999999997E-2</v>
      </c>
      <c r="D8" s="10">
        <f t="shared" si="4"/>
        <v>0.95255900000000004</v>
      </c>
      <c r="E8" s="198">
        <f>IF(B8&lt;=$C$2,1,IF(B8=$C$2+1,PRODUCT($D$5:D8),E7*D8))</f>
        <v>0.84887994533095856</v>
      </c>
      <c r="F8" s="10">
        <f t="shared" si="0"/>
        <v>0.85480419102972571</v>
      </c>
      <c r="G8" s="10">
        <f>F8*E8</f>
        <v>0.72562613494998784</v>
      </c>
      <c r="I8" s="13">
        <f t="shared" si="1"/>
        <v>4244.3997266547931</v>
      </c>
      <c r="J8" s="11">
        <f>(SUM(G9:$G$79)*$I$1)</f>
        <v>22839.20954896327</v>
      </c>
      <c r="K8" s="11">
        <f t="shared" si="6"/>
        <v>-3628.1306747499475</v>
      </c>
      <c r="L8" s="14">
        <v>10</v>
      </c>
      <c r="M8" s="19" t="s">
        <v>46</v>
      </c>
      <c r="N8" s="17">
        <f>SUM(I12:I19)</f>
        <v>18002.276777260173</v>
      </c>
      <c r="O8" s="18">
        <f>N8/SUM($N$6:$N$9)</f>
        <v>0.34784683645112829</v>
      </c>
      <c r="Q8" s="65">
        <v>4</v>
      </c>
      <c r="R8" s="66">
        <f>Inputs!H11</f>
        <v>1.74E-4</v>
      </c>
    </row>
    <row r="9" spans="1:18" ht="15.75" thickBot="1" x14ac:dyDescent="0.3">
      <c r="A9">
        <f t="shared" si="2"/>
        <v>84</v>
      </c>
      <c r="B9">
        <v>5</v>
      </c>
      <c r="C9" s="12">
        <f t="shared" si="3"/>
        <v>5.3233000000000003E-2</v>
      </c>
      <c r="D9" s="10">
        <f t="shared" si="4"/>
        <v>0.94676700000000003</v>
      </c>
      <c r="E9" s="198">
        <f>IF(B9&lt;=$C$2,1,IF(B9=$C$2+1,PRODUCT($D$5:D9),E8*D9))</f>
        <v>0.80369151920115567</v>
      </c>
      <c r="F9" s="10">
        <f t="shared" si="0"/>
        <v>0.82192710675935154</v>
      </c>
      <c r="G9" s="10">
        <f t="shared" si="5"/>
        <v>0.66057584510403367</v>
      </c>
      <c r="I9" s="13">
        <f t="shared" si="1"/>
        <v>4018.4575960057782</v>
      </c>
      <c r="J9" s="11">
        <f>(SUM(G10:$G$79)*$I$1)</f>
        <v>19536.3303234431</v>
      </c>
      <c r="K9" s="11">
        <f t="shared" si="6"/>
        <v>-3302.8792255201697</v>
      </c>
      <c r="L9" s="14">
        <v>30</v>
      </c>
      <c r="M9" s="20" t="s">
        <v>48</v>
      </c>
      <c r="N9" s="21">
        <f>SUM(I20:I70)</f>
        <v>4245.5034533608459</v>
      </c>
      <c r="O9" s="22">
        <f>N9/SUM($N$6:$N$9)</f>
        <v>8.2033231888720443E-2</v>
      </c>
      <c r="Q9" s="65">
        <v>5</v>
      </c>
      <c r="R9" s="66">
        <f>Inputs!H12</f>
        <v>1.6799999999999999E-4</v>
      </c>
    </row>
    <row r="10" spans="1:18" x14ac:dyDescent="0.25">
      <c r="A10">
        <f t="shared" si="2"/>
        <v>85</v>
      </c>
      <c r="B10">
        <v>6</v>
      </c>
      <c r="C10" s="12">
        <f t="shared" si="3"/>
        <v>5.9854999999999998E-2</v>
      </c>
      <c r="D10" s="10">
        <f t="shared" si="4"/>
        <v>0.94014500000000001</v>
      </c>
      <c r="E10" s="198">
        <f>IF(B10&lt;=$C$2,1,IF(B10=$C$2+1,PRODUCT($D$5:D10),E9*D10))</f>
        <v>0.75558656331937046</v>
      </c>
      <c r="F10" s="10">
        <f t="shared" si="0"/>
        <v>0.79031452573014571</v>
      </c>
      <c r="G10" s="10">
        <f t="shared" si="5"/>
        <v>0.59715103643781897</v>
      </c>
      <c r="I10" s="13">
        <f t="shared" si="1"/>
        <v>3777.9328165968523</v>
      </c>
      <c r="J10" s="11">
        <f>(SUM(G11:$G$79)*$I$1)</f>
        <v>16550.575141254005</v>
      </c>
      <c r="K10" s="11">
        <f t="shared" si="6"/>
        <v>-2985.7551821890956</v>
      </c>
      <c r="L10" s="53">
        <f>+SUMPRODUCT(L6:L9,O6:O9)</f>
        <v>7.9818860290051834</v>
      </c>
      <c r="O10" s="23">
        <f>SUM(O6:O9)</f>
        <v>1</v>
      </c>
      <c r="Q10" s="65">
        <v>6</v>
      </c>
      <c r="R10" s="66">
        <f>Inputs!H13</f>
        <v>1.65E-4</v>
      </c>
    </row>
    <row r="11" spans="1:18" x14ac:dyDescent="0.25">
      <c r="A11">
        <f t="shared" si="2"/>
        <v>86</v>
      </c>
      <c r="B11">
        <v>7</v>
      </c>
      <c r="C11" s="12">
        <f t="shared" si="3"/>
        <v>6.7514000000000005E-2</v>
      </c>
      <c r="D11" s="10">
        <f t="shared" si="4"/>
        <v>0.93248600000000004</v>
      </c>
      <c r="E11" s="198">
        <f>IF(B11&lt;=$C$2,1,IF(B11=$C$2+1,PRODUCT($D$5:D11),E10*D11))</f>
        <v>0.70457389208342647</v>
      </c>
      <c r="F11" s="10">
        <f t="shared" si="0"/>
        <v>0.75991781320206331</v>
      </c>
      <c r="G11" s="10">
        <f t="shared" si="5"/>
        <v>0.53541825131130394</v>
      </c>
      <c r="I11" s="13">
        <f t="shared" si="1"/>
        <v>3522.8694604171324</v>
      </c>
      <c r="J11" s="11">
        <f>(SUM(G12:$G$79)*$I$1)</f>
        <v>13873.483884697485</v>
      </c>
      <c r="K11" s="11">
        <f t="shared" si="6"/>
        <v>-2677.0912565565195</v>
      </c>
      <c r="Q11" s="65">
        <v>7</v>
      </c>
      <c r="R11" s="66">
        <f>Inputs!H14</f>
        <v>1.5899999999999999E-4</v>
      </c>
    </row>
    <row r="12" spans="1:18" x14ac:dyDescent="0.25">
      <c r="A12">
        <f t="shared" si="2"/>
        <v>87</v>
      </c>
      <c r="B12">
        <v>8</v>
      </c>
      <c r="C12" s="12">
        <f t="shared" si="3"/>
        <v>7.6340000000000005E-2</v>
      </c>
      <c r="D12" s="10">
        <f t="shared" si="4"/>
        <v>0.92366000000000004</v>
      </c>
      <c r="E12" s="198">
        <f>IF(B12&lt;=$C$2,1,IF(B12=$C$2+1,PRODUCT($D$5:D12),E11*D12))</f>
        <v>0.65078672116177771</v>
      </c>
      <c r="F12" s="10">
        <f t="shared" si="0"/>
        <v>0.73069020500198378</v>
      </c>
      <c r="G12" s="10">
        <f t="shared" si="5"/>
        <v>0.47552348269826822</v>
      </c>
      <c r="I12" s="13">
        <f t="shared" si="1"/>
        <v>3253.9336058088884</v>
      </c>
      <c r="J12" s="11">
        <f>(SUM(G13:$G$79)*$I$1)</f>
        <v>11495.866471206144</v>
      </c>
      <c r="K12" s="11">
        <f t="shared" si="6"/>
        <v>-2377.6174134913417</v>
      </c>
      <c r="Q12" s="65">
        <v>8</v>
      </c>
      <c r="R12" s="66">
        <f>Inputs!H15</f>
        <v>1.4300000000000001E-4</v>
      </c>
    </row>
    <row r="13" spans="1:18" x14ac:dyDescent="0.25">
      <c r="A13">
        <f t="shared" si="2"/>
        <v>88</v>
      </c>
      <c r="B13">
        <v>9</v>
      </c>
      <c r="C13" s="12">
        <f t="shared" si="3"/>
        <v>8.6388000000000006E-2</v>
      </c>
      <c r="D13" s="10">
        <f t="shared" si="4"/>
        <v>0.91361199999999998</v>
      </c>
      <c r="E13" s="198">
        <f>IF(B13&lt;=$C$2,1,IF(B13=$C$2+1,PRODUCT($D$5:D13),E12*D13))</f>
        <v>0.59456655789405399</v>
      </c>
      <c r="F13" s="10">
        <f t="shared" si="0"/>
        <v>0.70258673557883045</v>
      </c>
      <c r="G13" s="10">
        <f t="shared" si="5"/>
        <v>0.41773457699512512</v>
      </c>
      <c r="I13" s="13">
        <f t="shared" si="1"/>
        <v>2972.8327894702697</v>
      </c>
      <c r="J13" s="11">
        <f>(SUM(G14:$G$79)*$I$1)</f>
        <v>9407.1935862305163</v>
      </c>
      <c r="K13" s="11">
        <f t="shared" si="6"/>
        <v>-2088.6728849756273</v>
      </c>
      <c r="Q13" s="65">
        <v>9</v>
      </c>
      <c r="R13" s="66">
        <f>Inputs!H16</f>
        <v>1.2899999999999999E-4</v>
      </c>
    </row>
    <row r="14" spans="1:18" x14ac:dyDescent="0.25">
      <c r="A14">
        <f t="shared" si="2"/>
        <v>89</v>
      </c>
      <c r="B14">
        <v>10</v>
      </c>
      <c r="C14" s="12">
        <f t="shared" si="3"/>
        <v>9.7633999999999999E-2</v>
      </c>
      <c r="D14" s="10">
        <f t="shared" si="4"/>
        <v>0.902366</v>
      </c>
      <c r="E14" s="198">
        <f>IF(B14&lt;=$C$2,1,IF(B14=$C$2+1,PRODUCT($D$5:D14),E13*D14))</f>
        <v>0.53651664658062592</v>
      </c>
      <c r="F14" s="10">
        <f t="shared" si="0"/>
        <v>0.67556416882579851</v>
      </c>
      <c r="G14" s="10">
        <f t="shared" si="5"/>
        <v>0.36245142240844525</v>
      </c>
      <c r="I14" s="13">
        <f t="shared" si="1"/>
        <v>2682.5832329031296</v>
      </c>
      <c r="J14" s="11">
        <f>(SUM(G15:$G$79)*$I$1)</f>
        <v>7594.936474188291</v>
      </c>
      <c r="K14" s="11">
        <f t="shared" si="6"/>
        <v>-1812.2571120422253</v>
      </c>
      <c r="Q14" s="65">
        <v>10</v>
      </c>
      <c r="R14" s="66">
        <f>Inputs!H17</f>
        <v>1.13E-4</v>
      </c>
    </row>
    <row r="15" spans="1:18" x14ac:dyDescent="0.25">
      <c r="A15">
        <f t="shared" si="2"/>
        <v>90</v>
      </c>
      <c r="B15">
        <v>11</v>
      </c>
      <c r="C15" s="12">
        <f t="shared" si="3"/>
        <v>0.10999299999999999</v>
      </c>
      <c r="D15" s="10">
        <f t="shared" si="4"/>
        <v>0.89000699999999999</v>
      </c>
      <c r="E15" s="198">
        <f>IF(B15&lt;=$C$2,1,IF(B15=$C$2+1,PRODUCT($D$5:D15),E14*D15))</f>
        <v>0.47750357107328312</v>
      </c>
      <c r="F15" s="10">
        <f t="shared" si="0"/>
        <v>0.6495809315632679</v>
      </c>
      <c r="G15" s="10">
        <f t="shared" si="5"/>
        <v>0.31017721452257035</v>
      </c>
      <c r="I15" s="13">
        <f t="shared" si="1"/>
        <v>2387.5178553664155</v>
      </c>
      <c r="J15" s="11">
        <f>(SUM(G16:$G$79)*$I$1)</f>
        <v>6044.0504015754395</v>
      </c>
      <c r="K15" s="11">
        <f t="shared" si="6"/>
        <v>-1550.8860726128514</v>
      </c>
      <c r="Q15" s="65">
        <v>11</v>
      </c>
      <c r="R15" s="66">
        <f>Inputs!H18</f>
        <v>1.11E-4</v>
      </c>
    </row>
    <row r="16" spans="1:18" x14ac:dyDescent="0.25">
      <c r="A16">
        <f t="shared" si="2"/>
        <v>91</v>
      </c>
      <c r="B16">
        <v>12</v>
      </c>
      <c r="C16" s="12">
        <f t="shared" si="3"/>
        <v>0.12311900000000001</v>
      </c>
      <c r="D16" s="10">
        <f t="shared" si="4"/>
        <v>0.87688100000000002</v>
      </c>
      <c r="E16" s="198">
        <f>IF(B16&lt;=$C$2,1,IF(B16=$C$2+1,PRODUCT($D$5:D16),E15*D16))</f>
        <v>0.4187138089063116</v>
      </c>
      <c r="F16" s="10">
        <f t="shared" si="0"/>
        <v>0.62459704958006512</v>
      </c>
      <c r="G16" s="10">
        <f t="shared" si="5"/>
        <v>0.26152740966131344</v>
      </c>
      <c r="I16" s="13">
        <f t="shared" si="1"/>
        <v>2093.5690445315581</v>
      </c>
      <c r="J16" s="11">
        <f>(SUM(G17:$G$79)*$I$1)</f>
        <v>4736.413353268872</v>
      </c>
      <c r="K16" s="11">
        <f t="shared" si="6"/>
        <v>-1307.6370483065675</v>
      </c>
      <c r="Q16" s="65">
        <v>12</v>
      </c>
      <c r="R16" s="66">
        <f>Inputs!H19</f>
        <v>1.3200000000000001E-4</v>
      </c>
    </row>
    <row r="17" spans="1:18" x14ac:dyDescent="0.25">
      <c r="A17">
        <f t="shared" si="2"/>
        <v>92</v>
      </c>
      <c r="B17">
        <v>13</v>
      </c>
      <c r="C17" s="12">
        <f t="shared" si="3"/>
        <v>0.13716800000000001</v>
      </c>
      <c r="D17" s="10">
        <f t="shared" si="4"/>
        <v>0.86283200000000004</v>
      </c>
      <c r="E17" s="198">
        <f>IF(B17&lt;=$C$2,1,IF(B17=$C$2+1,PRODUCT($D$5:D17),E16*D17))</f>
        <v>0.36127967316625065</v>
      </c>
      <c r="F17" s="10">
        <f t="shared" si="0"/>
        <v>0.600574086134678</v>
      </c>
      <c r="G17" s="10">
        <f t="shared" si="5"/>
        <v>0.21697520955085614</v>
      </c>
      <c r="I17" s="13">
        <f t="shared" si="1"/>
        <v>1806.3983658312532</v>
      </c>
      <c r="J17" s="11">
        <f>(SUM(G18:$G$79)*$I$1)</f>
        <v>3651.5373055145915</v>
      </c>
      <c r="K17" s="11">
        <f t="shared" si="6"/>
        <v>-1084.8760477542805</v>
      </c>
      <c r="Q17" s="65">
        <v>13</v>
      </c>
      <c r="R17" s="66">
        <f>Inputs!H20</f>
        <v>1.6899999999999999E-4</v>
      </c>
    </row>
    <row r="18" spans="1:18" x14ac:dyDescent="0.25">
      <c r="A18">
        <f t="shared" si="2"/>
        <v>93</v>
      </c>
      <c r="B18">
        <v>14</v>
      </c>
      <c r="C18" s="12">
        <f t="shared" si="3"/>
        <v>0.152171</v>
      </c>
      <c r="D18" s="10">
        <f t="shared" si="4"/>
        <v>0.84782899999999994</v>
      </c>
      <c r="E18" s="198">
        <f>IF(B18&lt;=$C$2,1,IF(B18=$C$2+1,PRODUCT($D$5:D18),E17*D18))</f>
        <v>0.3063033840208691</v>
      </c>
      <c r="F18" s="10">
        <f t="shared" si="0"/>
        <v>0.57747508282180582</v>
      </c>
      <c r="G18" s="10">
        <f t="shared" si="5"/>
        <v>0.17688257205605076</v>
      </c>
      <c r="I18" s="13">
        <f t="shared" si="1"/>
        <v>1531.5169201043454</v>
      </c>
      <c r="J18" s="11">
        <f>(SUM(G19:$G$79)*$I$1)</f>
        <v>2767.1244452343381</v>
      </c>
      <c r="K18" s="11">
        <f t="shared" si="6"/>
        <v>-884.41286028025343</v>
      </c>
      <c r="Q18" s="65">
        <v>14</v>
      </c>
      <c r="R18" s="66">
        <f>Inputs!H21</f>
        <v>2.13E-4</v>
      </c>
    </row>
    <row r="19" spans="1:18" x14ac:dyDescent="0.25">
      <c r="A19">
        <f t="shared" si="2"/>
        <v>94</v>
      </c>
      <c r="B19">
        <v>15</v>
      </c>
      <c r="C19" s="12">
        <f t="shared" si="3"/>
        <v>0.16819400000000001</v>
      </c>
      <c r="D19" s="10">
        <f t="shared" si="4"/>
        <v>0.83180600000000005</v>
      </c>
      <c r="E19" s="198">
        <f>IF(B19&lt;=$C$2,1,IF(B19=$C$2+1,PRODUCT($D$5:D19),E18*D19))</f>
        <v>0.25478499264886306</v>
      </c>
      <c r="F19" s="10">
        <f t="shared" si="0"/>
        <v>0.55526450271327477</v>
      </c>
      <c r="G19" s="10">
        <f t="shared" si="5"/>
        <v>0.14147306224197631</v>
      </c>
      <c r="I19" s="13">
        <f t="shared" si="1"/>
        <v>1273.9249632443152</v>
      </c>
      <c r="J19" s="11">
        <f>(SUM(G20:$G$79)*$I$1)</f>
        <v>2059.7591340244558</v>
      </c>
      <c r="K19" s="11">
        <f t="shared" si="6"/>
        <v>-707.36531120988229</v>
      </c>
      <c r="Q19" s="65">
        <v>15</v>
      </c>
      <c r="R19" s="66">
        <f>Inputs!H22</f>
        <v>2.5399999999999999E-4</v>
      </c>
    </row>
    <row r="20" spans="1:18" x14ac:dyDescent="0.25">
      <c r="A20">
        <f t="shared" si="2"/>
        <v>95</v>
      </c>
      <c r="B20">
        <v>16</v>
      </c>
      <c r="C20" s="12">
        <f t="shared" si="3"/>
        <v>0.18526000000000001</v>
      </c>
      <c r="D20" s="10">
        <f t="shared" si="4"/>
        <v>0.81474000000000002</v>
      </c>
      <c r="E20" s="198">
        <f>IF(B20&lt;=$C$2,1,IF(B20=$C$2+1,PRODUCT($D$5:D20),E19*D20))</f>
        <v>0.2075835249107347</v>
      </c>
      <c r="F20" s="10">
        <f t="shared" si="0"/>
        <v>0.53390817568584104</v>
      </c>
      <c r="G20" s="10">
        <f t="shared" si="5"/>
        <v>0.1108305410875267</v>
      </c>
      <c r="I20" s="13">
        <f t="shared" si="1"/>
        <v>1037.9176245536735</v>
      </c>
      <c r="J20" s="11">
        <f>(SUM(G21:$G$79)*$I$1)</f>
        <v>1505.6064285868224</v>
      </c>
      <c r="K20" s="11">
        <f t="shared" si="6"/>
        <v>-554.15270543763336</v>
      </c>
      <c r="Q20" s="65">
        <v>16</v>
      </c>
      <c r="R20" s="66">
        <f>Inputs!H23</f>
        <v>2.9300000000000002E-4</v>
      </c>
    </row>
    <row r="21" spans="1:18" x14ac:dyDescent="0.25">
      <c r="A21">
        <f t="shared" si="2"/>
        <v>96</v>
      </c>
      <c r="B21">
        <v>17</v>
      </c>
      <c r="C21" s="12">
        <f t="shared" si="3"/>
        <v>0.197322</v>
      </c>
      <c r="D21" s="10">
        <f t="shared" si="4"/>
        <v>0.802678</v>
      </c>
      <c r="E21" s="198">
        <f>IF(B21&lt;=$C$2,1,IF(B21=$C$2+1,PRODUCT($D$5:D21),E20*D21))</f>
        <v>0.16662272860829871</v>
      </c>
      <c r="F21" s="10">
        <f t="shared" si="0"/>
        <v>0.51337324585177024</v>
      </c>
      <c r="G21" s="10">
        <f t="shared" si="5"/>
        <v>8.5539651018320922E-2</v>
      </c>
      <c r="I21" s="13">
        <f t="shared" si="1"/>
        <v>833.11364304149356</v>
      </c>
      <c r="J21" s="11">
        <f>(SUM(G22:$G$79)*$I$1)</f>
        <v>1077.9081734952174</v>
      </c>
      <c r="K21" s="11">
        <f t="shared" si="6"/>
        <v>-427.69825509160501</v>
      </c>
      <c r="Q21" s="65">
        <v>17</v>
      </c>
      <c r="R21" s="66">
        <f>Inputs!H24</f>
        <v>3.28E-4</v>
      </c>
    </row>
    <row r="22" spans="1:18" x14ac:dyDescent="0.25">
      <c r="A22">
        <f t="shared" si="2"/>
        <v>97</v>
      </c>
      <c r="B22">
        <v>18</v>
      </c>
      <c r="C22" s="12">
        <f t="shared" si="3"/>
        <v>0.214751</v>
      </c>
      <c r="D22" s="10">
        <f t="shared" si="4"/>
        <v>0.78524899999999997</v>
      </c>
      <c r="E22" s="198">
        <f>IF(B22&lt;=$C$2,1,IF(B22=$C$2+1,PRODUCT($D$5:D22),E21*D22))</f>
        <v>0.13084033101693796</v>
      </c>
      <c r="F22" s="10">
        <f t="shared" si="0"/>
        <v>0.49362812101131748</v>
      </c>
      <c r="G22" s="10">
        <f t="shared" si="5"/>
        <v>6.4586466752389882E-2</v>
      </c>
      <c r="I22" s="13">
        <f t="shared" si="1"/>
        <v>654.20165508468983</v>
      </c>
      <c r="J22" s="11">
        <f>(SUM(G23:$G$79)*$I$1)</f>
        <v>754.97583973326812</v>
      </c>
      <c r="K22" s="11">
        <f t="shared" si="6"/>
        <v>-322.93233376194928</v>
      </c>
      <c r="Q22" s="65">
        <v>18</v>
      </c>
      <c r="R22" s="66">
        <f>Inputs!H25</f>
        <v>3.59E-4</v>
      </c>
    </row>
    <row r="23" spans="1:18" x14ac:dyDescent="0.25">
      <c r="A23">
        <f t="shared" si="2"/>
        <v>98</v>
      </c>
      <c r="B23">
        <v>19</v>
      </c>
      <c r="C23" s="12">
        <f t="shared" si="3"/>
        <v>0.23250699999999999</v>
      </c>
      <c r="D23" s="10">
        <f t="shared" si="4"/>
        <v>0.76749299999999998</v>
      </c>
      <c r="E23" s="198">
        <f>IF(B23&lt;=$C$2,1,IF(B23=$C$2+1,PRODUCT($D$5:D23),E22*D23))</f>
        <v>0.10041903817318276</v>
      </c>
      <c r="F23" s="10">
        <f t="shared" si="0"/>
        <v>0.47464242404934376</v>
      </c>
      <c r="G23" s="10">
        <f t="shared" si="5"/>
        <v>4.766313569922305E-2</v>
      </c>
      <c r="I23" s="13">
        <f t="shared" si="1"/>
        <v>502.09519086591382</v>
      </c>
      <c r="J23" s="11">
        <f>(SUM(G24:$G$79)*$I$1)</f>
        <v>516.66016123715292</v>
      </c>
      <c r="K23" s="11">
        <f t="shared" si="6"/>
        <v>-238.3156784961152</v>
      </c>
      <c r="Q23" s="65">
        <v>19</v>
      </c>
      <c r="R23" s="66">
        <f>Inputs!H26</f>
        <v>3.8699999999999997E-4</v>
      </c>
    </row>
    <row r="24" spans="1:18" x14ac:dyDescent="0.25">
      <c r="A24">
        <f t="shared" si="2"/>
        <v>99</v>
      </c>
      <c r="B24">
        <v>20</v>
      </c>
      <c r="C24" s="12">
        <f t="shared" si="3"/>
        <v>0.25039699999999998</v>
      </c>
      <c r="D24" s="10">
        <f t="shared" si="4"/>
        <v>0.74960300000000002</v>
      </c>
      <c r="E24" s="198">
        <f>IF(B24&lt;=$C$2,1,IF(B24=$C$2+1,PRODUCT($D$5:D24),E23*D24))</f>
        <v>7.5274412271732316E-2</v>
      </c>
      <c r="F24" s="10">
        <f t="shared" si="0"/>
        <v>0.45638694620129205</v>
      </c>
      <c r="G24" s="10">
        <f t="shared" si="5"/>
        <v>3.4354259143792976E-2</v>
      </c>
      <c r="I24" s="13">
        <f t="shared" si="1"/>
        <v>376.3720613586616</v>
      </c>
      <c r="J24" s="11">
        <f>(SUM(G25:$G$79)*$I$1)</f>
        <v>344.88886551818808</v>
      </c>
      <c r="K24" s="11">
        <f t="shared" si="6"/>
        <v>-171.77129571896484</v>
      </c>
      <c r="Q24" s="65">
        <v>20</v>
      </c>
      <c r="R24" s="66">
        <f>Inputs!H27</f>
        <v>4.1399999999999998E-4</v>
      </c>
    </row>
    <row r="25" spans="1:18" x14ac:dyDescent="0.25">
      <c r="A25">
        <f t="shared" si="2"/>
        <v>100</v>
      </c>
      <c r="B25">
        <v>21</v>
      </c>
      <c r="C25" s="12">
        <f t="shared" si="3"/>
        <v>0.26860699999999998</v>
      </c>
      <c r="D25" s="10">
        <f t="shared" si="4"/>
        <v>0.73139299999999996</v>
      </c>
      <c r="E25" s="198">
        <f>IF(B25&lt;=$C$2,1,IF(B25=$C$2+1,PRODUCT($D$5:D25),E24*D25))</f>
        <v>5.5055178214659113E-2</v>
      </c>
      <c r="F25" s="10">
        <f t="shared" si="0"/>
        <v>0.43883360211662686</v>
      </c>
      <c r="G25" s="10">
        <f t="shared" si="5"/>
        <v>2.4160062171111701E-2</v>
      </c>
      <c r="I25" s="13">
        <f t="shared" si="1"/>
        <v>275.27589107329555</v>
      </c>
      <c r="J25" s="11">
        <f>(SUM(G26:$G$79)*$I$1)</f>
        <v>224.08855466262943</v>
      </c>
      <c r="K25" s="11">
        <f t="shared" si="6"/>
        <v>-120.80031085555865</v>
      </c>
      <c r="Q25" s="65">
        <v>21</v>
      </c>
      <c r="R25" s="66">
        <f>Inputs!H28</f>
        <v>4.4299999999999998E-4</v>
      </c>
    </row>
    <row r="26" spans="1:18" x14ac:dyDescent="0.25">
      <c r="A26">
        <f t="shared" si="2"/>
        <v>101</v>
      </c>
      <c r="B26">
        <v>22</v>
      </c>
      <c r="C26" s="12">
        <f t="shared" si="3"/>
        <v>0.290016</v>
      </c>
      <c r="D26" s="10">
        <f t="shared" si="4"/>
        <v>0.70998399999999995</v>
      </c>
      <c r="E26" s="198">
        <f>IF(B26&lt;=$C$2,1,IF(B26=$C$2+1,PRODUCT($D$5:D26),E25*D26))</f>
        <v>3.9088295649556536E-2</v>
      </c>
      <c r="F26" s="10">
        <f t="shared" si="0"/>
        <v>0.42195538665060278</v>
      </c>
      <c r="G26" s="10">
        <f t="shared" si="5"/>
        <v>1.6493516904321704E-2</v>
      </c>
      <c r="I26" s="13">
        <f t="shared" si="1"/>
        <v>195.44147824778267</v>
      </c>
      <c r="J26" s="11">
        <f>(SUM(G27:$G$79)*$I$1)</f>
        <v>141.62097014102099</v>
      </c>
      <c r="K26" s="11">
        <f t="shared" si="6"/>
        <v>-82.467584521608444</v>
      </c>
      <c r="Q26" s="65">
        <v>22</v>
      </c>
      <c r="R26" s="66">
        <f>Inputs!H29</f>
        <v>4.73E-4</v>
      </c>
    </row>
    <row r="27" spans="1:18" x14ac:dyDescent="0.25">
      <c r="A27">
        <f t="shared" si="2"/>
        <v>102</v>
      </c>
      <c r="B27">
        <v>23</v>
      </c>
      <c r="C27" s="12">
        <f t="shared" si="3"/>
        <v>0.31184899999999999</v>
      </c>
      <c r="D27" s="10">
        <f t="shared" si="4"/>
        <v>0.68815099999999996</v>
      </c>
      <c r="E27" s="198">
        <f>IF(B27&lt;=$C$2,1,IF(B27=$C$2+1,PRODUCT($D$5:D27),E26*D27))</f>
        <v>2.6898649739537976E-2</v>
      </c>
      <c r="F27" s="10">
        <f t="shared" si="0"/>
        <v>0.40572633331788732</v>
      </c>
      <c r="G27" s="10">
        <f t="shared" si="5"/>
        <v>1.0913490530024888E-2</v>
      </c>
      <c r="I27" s="13">
        <f t="shared" si="1"/>
        <v>134.49324869768989</v>
      </c>
      <c r="J27" s="11">
        <f>(SUM(G28:$G$79)*$I$1)</f>
        <v>87.053517490896553</v>
      </c>
      <c r="K27" s="11">
        <f t="shared" si="6"/>
        <v>-54.567452650124437</v>
      </c>
      <c r="Q27" s="65">
        <v>23</v>
      </c>
      <c r="R27" s="66">
        <f>Inputs!H30</f>
        <v>5.13E-4</v>
      </c>
    </row>
    <row r="28" spans="1:18" x14ac:dyDescent="0.25">
      <c r="A28">
        <f t="shared" si="2"/>
        <v>103</v>
      </c>
      <c r="B28">
        <v>24</v>
      </c>
      <c r="C28" s="12">
        <f t="shared" si="3"/>
        <v>0.33396199999999998</v>
      </c>
      <c r="D28" s="10">
        <f t="shared" si="4"/>
        <v>0.66603800000000002</v>
      </c>
      <c r="E28" s="198">
        <f>IF(B28&lt;=$C$2,1,IF(B28=$C$2+1,PRODUCT($D$5:D28),E27*D28))</f>
        <v>1.7915522875222394E-2</v>
      </c>
      <c r="F28" s="10">
        <f t="shared" si="0"/>
        <v>0.39012147434412242</v>
      </c>
      <c r="G28" s="10">
        <f t="shared" si="5"/>
        <v>6.989230197727612E-3</v>
      </c>
      <c r="I28" s="13">
        <f t="shared" si="1"/>
        <v>89.577614376111967</v>
      </c>
      <c r="J28" s="11">
        <f>(SUM(G29:$G$79)*$I$1)</f>
        <v>52.107366502258479</v>
      </c>
      <c r="K28" s="11">
        <f t="shared" si="6"/>
        <v>-34.946150988638074</v>
      </c>
      <c r="Q28" s="65">
        <v>24</v>
      </c>
      <c r="R28" s="66">
        <f>Inputs!H31</f>
        <v>5.5400000000000002E-4</v>
      </c>
    </row>
    <row r="29" spans="1:18" x14ac:dyDescent="0.25">
      <c r="A29">
        <f t="shared" si="2"/>
        <v>104</v>
      </c>
      <c r="B29">
        <v>25</v>
      </c>
      <c r="C29" s="12">
        <f t="shared" si="3"/>
        <v>0.356207</v>
      </c>
      <c r="D29" s="10">
        <f t="shared" si="4"/>
        <v>0.64379300000000006</v>
      </c>
      <c r="E29" s="198">
        <f>IF(B29&lt;=$C$2,1,IF(B29=$C$2+1,PRODUCT($D$5:D29),E28*D29))</f>
        <v>1.1533888218408051E-2</v>
      </c>
      <c r="F29" s="10">
        <f t="shared" si="0"/>
        <v>0.37511680225396377</v>
      </c>
      <c r="G29" s="10">
        <f t="shared" si="5"/>
        <v>4.3265552660438954E-3</v>
      </c>
      <c r="I29" s="13">
        <f t="shared" si="1"/>
        <v>57.669441092040259</v>
      </c>
      <c r="J29" s="11">
        <f>(SUM(G30:$G$79)*$I$1)</f>
        <v>30.474590172038994</v>
      </c>
      <c r="K29" s="11">
        <f t="shared" si="6"/>
        <v>-21.632776330219485</v>
      </c>
      <c r="Q29" s="65">
        <v>25</v>
      </c>
      <c r="R29" s="66">
        <f>Inputs!H32</f>
        <v>6.02E-4</v>
      </c>
    </row>
    <row r="30" spans="1:18" x14ac:dyDescent="0.25">
      <c r="A30">
        <f t="shared" si="2"/>
        <v>105</v>
      </c>
      <c r="B30">
        <v>26</v>
      </c>
      <c r="C30" s="12">
        <f t="shared" si="3"/>
        <v>0.38</v>
      </c>
      <c r="D30" s="10">
        <f t="shared" si="4"/>
        <v>0.62</v>
      </c>
      <c r="E30" s="198">
        <f>IF(B30&lt;=$C$2,1,IF(B30=$C$2+1,PRODUCT($D$5:D30),E29*D30))</f>
        <v>7.1510106954129913E-3</v>
      </c>
      <c r="F30" s="10">
        <f t="shared" si="0"/>
        <v>0.36068923293650368</v>
      </c>
      <c r="G30" s="10">
        <f t="shared" si="5"/>
        <v>2.5792925624492456E-3</v>
      </c>
      <c r="I30" s="13">
        <f t="shared" si="1"/>
        <v>35.755053477064955</v>
      </c>
      <c r="J30" s="11">
        <f>(SUM(G31:$G$79)*$I$1)</f>
        <v>17.57812735979277</v>
      </c>
      <c r="K30" s="11">
        <f t="shared" si="6"/>
        <v>-12.896462812246224</v>
      </c>
      <c r="Q30" s="65">
        <v>26</v>
      </c>
      <c r="R30" s="66">
        <f>Inputs!H33</f>
        <v>6.5499999999999998E-4</v>
      </c>
    </row>
    <row r="31" spans="1:18" x14ac:dyDescent="0.25">
      <c r="A31">
        <f t="shared" si="2"/>
        <v>106</v>
      </c>
      <c r="B31">
        <v>27</v>
      </c>
      <c r="C31" s="12">
        <f t="shared" si="3"/>
        <v>0.4</v>
      </c>
      <c r="D31" s="10">
        <f t="shared" si="4"/>
        <v>0.6</v>
      </c>
      <c r="E31" s="198">
        <f>IF(B31&lt;=$C$2,1,IF(B31=$C$2+1,PRODUCT($D$5:D31),E30*D31))</f>
        <v>4.2906064172477942E-3</v>
      </c>
      <c r="F31" s="10">
        <f t="shared" si="0"/>
        <v>0.3468165701312535</v>
      </c>
      <c r="G31" s="10">
        <f t="shared" si="5"/>
        <v>1.4880534014130259E-3</v>
      </c>
      <c r="I31" s="13">
        <f t="shared" si="1"/>
        <v>21.45303208623897</v>
      </c>
      <c r="J31" s="11">
        <f>(SUM(G32:$G$79)*$I$1)</f>
        <v>10.137860352727639</v>
      </c>
      <c r="K31" s="11">
        <f t="shared" si="6"/>
        <v>-7.4402670070651311</v>
      </c>
      <c r="Q31" s="65">
        <v>27</v>
      </c>
      <c r="R31" s="66">
        <f>Inputs!H34</f>
        <v>6.8800000000000003E-4</v>
      </c>
    </row>
    <row r="32" spans="1:18" x14ac:dyDescent="0.25">
      <c r="A32">
        <f t="shared" si="2"/>
        <v>107</v>
      </c>
      <c r="B32">
        <v>28</v>
      </c>
      <c r="C32" s="12">
        <f t="shared" si="3"/>
        <v>0.4</v>
      </c>
      <c r="D32" s="10">
        <f t="shared" si="4"/>
        <v>0.6</v>
      </c>
      <c r="E32" s="198">
        <f>IF(B32&lt;=$C$2,1,IF(B32=$C$2+1,PRODUCT($D$5:D32),E31*D32))</f>
        <v>2.5743638503486765E-3</v>
      </c>
      <c r="F32" s="10">
        <f t="shared" si="0"/>
        <v>0.3334774712800514</v>
      </c>
      <c r="G32" s="10">
        <f t="shared" si="5"/>
        <v>8.5849234696905329E-4</v>
      </c>
      <c r="I32" s="13">
        <f t="shared" si="1"/>
        <v>12.871819251743382</v>
      </c>
      <c r="J32" s="11">
        <f>(SUM(G33:$G$79)*$I$1)</f>
        <v>5.8453986178823722</v>
      </c>
      <c r="K32" s="11">
        <f t="shared" si="6"/>
        <v>-4.2924617348452667</v>
      </c>
      <c r="Q32" s="65">
        <v>28</v>
      </c>
      <c r="R32" s="66">
        <f>Inputs!H35</f>
        <v>7.1000000000000002E-4</v>
      </c>
    </row>
    <row r="33" spans="1:18" x14ac:dyDescent="0.25">
      <c r="A33">
        <f t="shared" si="2"/>
        <v>108</v>
      </c>
      <c r="B33">
        <v>29</v>
      </c>
      <c r="C33" s="12">
        <f t="shared" si="3"/>
        <v>0.4</v>
      </c>
      <c r="D33" s="10">
        <f t="shared" si="4"/>
        <v>0.6</v>
      </c>
      <c r="E33" s="198">
        <f>IF(B33&lt;=$C$2,1,IF(B33=$C$2+1,PRODUCT($D$5:D33),E32*D33))</f>
        <v>1.544618310209206E-3</v>
      </c>
      <c r="F33" s="10">
        <f t="shared" si="0"/>
        <v>0.32065141469235708</v>
      </c>
      <c r="G33" s="10">
        <f t="shared" si="5"/>
        <v>4.9528404632829994E-4</v>
      </c>
      <c r="I33" s="13">
        <f t="shared" si="1"/>
        <v>7.7230915510460294</v>
      </c>
      <c r="J33" s="11">
        <f>(SUM(G34:$G$79)*$I$1)</f>
        <v>3.3689783862408733</v>
      </c>
      <c r="K33" s="11">
        <f t="shared" si="6"/>
        <v>-2.4764202316414989</v>
      </c>
      <c r="Q33" s="65">
        <v>29</v>
      </c>
      <c r="R33" s="66">
        <f>Inputs!H36</f>
        <v>7.27E-4</v>
      </c>
    </row>
    <row r="34" spans="1:18" x14ac:dyDescent="0.25">
      <c r="A34">
        <f t="shared" si="2"/>
        <v>109</v>
      </c>
      <c r="B34">
        <v>30</v>
      </c>
      <c r="C34" s="12">
        <f t="shared" si="3"/>
        <v>0.4</v>
      </c>
      <c r="D34" s="10">
        <f t="shared" si="4"/>
        <v>0.6</v>
      </c>
      <c r="E34" s="198">
        <f>IF(B34&lt;=$C$2,1,IF(B34=$C$2+1,PRODUCT($D$5:D34),E33*D34))</f>
        <v>9.2677098612552352E-4</v>
      </c>
      <c r="F34" s="10">
        <f t="shared" si="0"/>
        <v>0.30831866797342034</v>
      </c>
      <c r="G34" s="10">
        <f t="shared" si="5"/>
        <v>2.8574079595863465E-4</v>
      </c>
      <c r="I34" s="13">
        <f t="shared" si="1"/>
        <v>4.633854930627618</v>
      </c>
      <c r="J34" s="11">
        <f>(SUM(G35:$G$79)*$I$1)</f>
        <v>1.9402744064477007</v>
      </c>
      <c r="K34" s="11">
        <f t="shared" si="6"/>
        <v>-1.4287039797931727</v>
      </c>
      <c r="Q34" s="65">
        <v>30</v>
      </c>
      <c r="R34" s="66">
        <f>Inputs!H37</f>
        <v>7.4100000000000001E-4</v>
      </c>
    </row>
    <row r="35" spans="1:18" x14ac:dyDescent="0.25">
      <c r="A35">
        <f t="shared" si="2"/>
        <v>110</v>
      </c>
      <c r="B35">
        <v>31</v>
      </c>
      <c r="C35" s="12">
        <f t="shared" si="3"/>
        <v>0.4</v>
      </c>
      <c r="D35" s="10">
        <f t="shared" si="4"/>
        <v>0.6</v>
      </c>
      <c r="E35" s="198">
        <f>IF(B35&lt;=$C$2,1,IF(B35=$C$2+1,PRODUCT($D$5:D35),E34*D35))</f>
        <v>5.5606259167531407E-4</v>
      </c>
      <c r="F35" s="10">
        <f t="shared" si="0"/>
        <v>0.29646025766675027</v>
      </c>
      <c r="G35" s="10">
        <f t="shared" si="5"/>
        <v>1.6485045920690454E-4</v>
      </c>
      <c r="I35" s="13">
        <f t="shared" si="1"/>
        <v>2.7803129583765704</v>
      </c>
      <c r="J35" s="11">
        <f>(SUM(G36:$G$79)*$I$1)</f>
        <v>1.1160221104131776</v>
      </c>
      <c r="K35" s="11">
        <f t="shared" si="6"/>
        <v>-0.8242522960345231</v>
      </c>
      <c r="Q35" s="65">
        <v>31</v>
      </c>
      <c r="R35" s="66">
        <f>Inputs!H38</f>
        <v>7.5100000000000004E-4</v>
      </c>
    </row>
    <row r="36" spans="1:18" x14ac:dyDescent="0.25">
      <c r="A36">
        <f t="shared" si="2"/>
        <v>111</v>
      </c>
      <c r="B36">
        <v>32</v>
      </c>
      <c r="C36" s="12">
        <f t="shared" si="3"/>
        <v>0.4</v>
      </c>
      <c r="D36" s="10">
        <f t="shared" si="4"/>
        <v>0.6</v>
      </c>
      <c r="E36" s="198">
        <f>IF(B36&lt;=$C$2,1,IF(B36=$C$2+1,PRODUCT($D$5:D36),E35*D36))</f>
        <v>3.3363755500518842E-4</v>
      </c>
      <c r="F36" s="10">
        <f t="shared" si="0"/>
        <v>0.28505794006418295</v>
      </c>
      <c r="G36" s="10">
        <f t="shared" si="5"/>
        <v>9.510603415782954E-5</v>
      </c>
      <c r="I36" s="13">
        <f t="shared" si="1"/>
        <v>1.6681877750259422</v>
      </c>
      <c r="J36" s="11">
        <f>(SUM(G37:$G$79)*$I$1)</f>
        <v>0.64049193962402962</v>
      </c>
      <c r="K36" s="11">
        <f t="shared" si="6"/>
        <v>-0.47553017078914794</v>
      </c>
      <c r="Q36" s="65">
        <v>32</v>
      </c>
      <c r="R36" s="66">
        <f>Inputs!H39</f>
        <v>7.54E-4</v>
      </c>
    </row>
    <row r="37" spans="1:18" x14ac:dyDescent="0.25">
      <c r="A37">
        <f t="shared" si="2"/>
        <v>112</v>
      </c>
      <c r="B37">
        <v>33</v>
      </c>
      <c r="C37" s="12">
        <f t="shared" si="3"/>
        <v>0.4</v>
      </c>
      <c r="D37" s="10">
        <f t="shared" si="4"/>
        <v>0.6</v>
      </c>
      <c r="E37" s="198">
        <f>IF(B37&lt;=$C$2,1,IF(B37=$C$2+1,PRODUCT($D$5:D37),E36*D37))</f>
        <v>2.0018253300311306E-4</v>
      </c>
      <c r="F37" s="10">
        <f t="shared" si="0"/>
        <v>0.27409417313863743</v>
      </c>
      <c r="G37" s="10">
        <f t="shared" si="5"/>
        <v>5.4868865860286272E-5</v>
      </c>
      <c r="I37" s="13">
        <f t="shared" si="1"/>
        <v>1.0009126650155653</v>
      </c>
      <c r="J37" s="11">
        <f>(SUM(G38:$G$79)*$I$1)</f>
        <v>0.3661476103225984</v>
      </c>
      <c r="K37" s="11">
        <f t="shared" si="6"/>
        <v>-0.27434432930143121</v>
      </c>
      <c r="Q37" s="65">
        <v>33</v>
      </c>
      <c r="R37" s="66">
        <f>Inputs!H40</f>
        <v>7.5600000000000005E-4</v>
      </c>
    </row>
    <row r="38" spans="1:18" x14ac:dyDescent="0.25">
      <c r="A38">
        <f t="shared" si="2"/>
        <v>113</v>
      </c>
      <c r="B38">
        <v>34</v>
      </c>
      <c r="C38" s="12">
        <f t="shared" si="3"/>
        <v>0.4</v>
      </c>
      <c r="D38" s="10">
        <f t="shared" si="4"/>
        <v>0.6</v>
      </c>
      <c r="E38" s="198">
        <f>IF(B38&lt;=$C$2,1,IF(B38=$C$2+1,PRODUCT($D$5:D38),E37*D38))</f>
        <v>1.2010951980186783E-4</v>
      </c>
      <c r="F38" s="10">
        <f t="shared" si="0"/>
        <v>0.26355208955638215</v>
      </c>
      <c r="G38" s="10">
        <f t="shared" si="5"/>
        <v>3.1655114919395927E-5</v>
      </c>
      <c r="I38" s="13">
        <f t="shared" si="1"/>
        <v>0.60054759900933918</v>
      </c>
      <c r="J38" s="11">
        <f>(SUM(G39:$G$79)*$I$1)</f>
        <v>0.2078720357256188</v>
      </c>
      <c r="K38" s="11">
        <f t="shared" si="6"/>
        <v>-0.15827557459697961</v>
      </c>
      <c r="Q38" s="65">
        <v>34</v>
      </c>
      <c r="R38" s="66">
        <f>Inputs!H41</f>
        <v>7.5600000000000005E-4</v>
      </c>
    </row>
    <row r="39" spans="1:18" x14ac:dyDescent="0.25">
      <c r="A39">
        <f t="shared" si="2"/>
        <v>114</v>
      </c>
      <c r="B39">
        <v>35</v>
      </c>
      <c r="C39" s="12">
        <f t="shared" si="3"/>
        <v>0.4</v>
      </c>
      <c r="D39" s="10">
        <f t="shared" si="4"/>
        <v>0.6</v>
      </c>
      <c r="E39" s="198">
        <f>IF(B39&lt;=$C$2,1,IF(B39=$C$2+1,PRODUCT($D$5:D39),E38*D39))</f>
        <v>7.2065711881120698E-5</v>
      </c>
      <c r="F39" s="10">
        <f t="shared" si="0"/>
        <v>0.25341547072729048</v>
      </c>
      <c r="G39" s="10">
        <f t="shared" si="5"/>
        <v>1.8262566299651492E-5</v>
      </c>
      <c r="I39" s="13">
        <f t="shared" si="1"/>
        <v>0.36032855940560349</v>
      </c>
      <c r="J39" s="11">
        <f>(SUM(G40:$G$79)*$I$1)</f>
        <v>0.11655920422736132</v>
      </c>
      <c r="K39" s="11">
        <f t="shared" si="6"/>
        <v>-9.1312831498257474E-2</v>
      </c>
      <c r="Q39" s="65">
        <v>35</v>
      </c>
      <c r="R39" s="66">
        <f>Inputs!H42</f>
        <v>7.5600000000000005E-4</v>
      </c>
    </row>
    <row r="40" spans="1:18" x14ac:dyDescent="0.25">
      <c r="A40">
        <f t="shared" si="2"/>
        <v>115</v>
      </c>
      <c r="B40">
        <v>36</v>
      </c>
      <c r="C40" s="12">
        <f t="shared" si="3"/>
        <v>0.4</v>
      </c>
      <c r="D40" s="10">
        <f t="shared" si="4"/>
        <v>0.6</v>
      </c>
      <c r="E40" s="198">
        <f>IF(B40&lt;=$C$2,1,IF(B40=$C$2+1,PRODUCT($D$5:D40),E39*D40))</f>
        <v>4.3239427128672414E-5</v>
      </c>
      <c r="F40" s="10">
        <f t="shared" si="0"/>
        <v>0.24366872185316396</v>
      </c>
      <c r="G40" s="10">
        <f t="shared" si="5"/>
        <v>1.0536095942106631E-5</v>
      </c>
      <c r="I40" s="13">
        <f t="shared" si="1"/>
        <v>0.21619713564336207</v>
      </c>
      <c r="J40" s="11">
        <f>(SUM(G41:$G$79)*$I$1)</f>
        <v>6.3878724516828189E-2</v>
      </c>
      <c r="K40" s="11">
        <f t="shared" si="6"/>
        <v>-5.2680479710533135E-2</v>
      </c>
      <c r="Q40" s="65">
        <v>36</v>
      </c>
      <c r="R40" s="66">
        <f>Inputs!H43</f>
        <v>7.5600000000000005E-4</v>
      </c>
    </row>
    <row r="41" spans="1:18" x14ac:dyDescent="0.25">
      <c r="A41">
        <f t="shared" si="2"/>
        <v>116</v>
      </c>
      <c r="B41">
        <v>37</v>
      </c>
      <c r="C41" s="12">
        <f t="shared" si="3"/>
        <v>0.4</v>
      </c>
      <c r="D41" s="10">
        <f t="shared" si="4"/>
        <v>0.6</v>
      </c>
      <c r="E41" s="198">
        <f>IF(B41&lt;=$C$2,1,IF(B41=$C$2+1,PRODUCT($D$5:D41),E40*D41))</f>
        <v>2.5943656277203448E-5</v>
      </c>
      <c r="F41" s="10">
        <f t="shared" si="0"/>
        <v>0.23429684793573452</v>
      </c>
      <c r="G41" s="10">
        <f t="shared" si="5"/>
        <v>6.0785168896769005E-6</v>
      </c>
      <c r="I41" s="13">
        <f t="shared" si="1"/>
        <v>0.12971828138601724</v>
      </c>
      <c r="J41" s="11">
        <f>(SUM(G42:$G$79)*$I$1)</f>
        <v>3.3486140068443672E-2</v>
      </c>
      <c r="K41" s="11">
        <f t="shared" si="6"/>
        <v>-3.0392584448384517E-2</v>
      </c>
      <c r="Q41" s="65">
        <v>37</v>
      </c>
      <c r="R41" s="66">
        <f>Inputs!H44</f>
        <v>7.5600000000000005E-4</v>
      </c>
    </row>
    <row r="42" spans="1:18" x14ac:dyDescent="0.25">
      <c r="A42">
        <f t="shared" si="2"/>
        <v>117</v>
      </c>
      <c r="B42">
        <v>38</v>
      </c>
      <c r="C42" s="12">
        <f t="shared" si="3"/>
        <v>0.4</v>
      </c>
      <c r="D42" s="10">
        <f t="shared" si="4"/>
        <v>0.6</v>
      </c>
      <c r="E42" s="198">
        <f>IF(B42&lt;=$C$2,1,IF(B42=$C$2+1,PRODUCT($D$5:D42),E41*D42))</f>
        <v>1.5566193766322069E-5</v>
      </c>
      <c r="F42" s="10">
        <f t="shared" si="0"/>
        <v>0.22528543070743706</v>
      </c>
      <c r="G42" s="10">
        <f t="shared" si="5"/>
        <v>3.5068366671212894E-6</v>
      </c>
      <c r="I42" s="13">
        <f t="shared" si="1"/>
        <v>7.783096883161035E-2</v>
      </c>
      <c r="J42" s="11">
        <f>(SUM(G43:$G$79)*$I$1)</f>
        <v>1.5951956732837225E-2</v>
      </c>
      <c r="K42" s="11">
        <f t="shared" si="6"/>
        <v>-1.7534183335606447E-2</v>
      </c>
      <c r="Q42" s="65">
        <v>38</v>
      </c>
      <c r="R42" s="66">
        <f>Inputs!H45</f>
        <v>7.5600000000000005E-4</v>
      </c>
    </row>
    <row r="43" spans="1:18" x14ac:dyDescent="0.25">
      <c r="A43">
        <f t="shared" si="2"/>
        <v>118</v>
      </c>
      <c r="B43">
        <v>39</v>
      </c>
      <c r="C43" s="12">
        <f t="shared" si="3"/>
        <v>0.4</v>
      </c>
      <c r="D43" s="10">
        <f t="shared" si="4"/>
        <v>0.6</v>
      </c>
      <c r="E43" s="198">
        <f>IF(B43&lt;=$C$2,1,IF(B43=$C$2+1,PRODUCT($D$5:D43),E42*D43))</f>
        <v>9.3397162597932416E-6</v>
      </c>
      <c r="F43" s="10">
        <f t="shared" si="0"/>
        <v>0.21662060644945874</v>
      </c>
      <c r="G43" s="10">
        <f t="shared" si="5"/>
        <v>2.0231750002622824E-6</v>
      </c>
      <c r="I43" s="13">
        <f t="shared" si="1"/>
        <v>4.6698581298966209E-2</v>
      </c>
      <c r="J43" s="11">
        <f>(SUM(G44:$G$79)*$I$1)</f>
        <v>5.8360817315258121E-3</v>
      </c>
      <c r="K43" s="11">
        <f t="shared" si="6"/>
        <v>-1.0115875001311413E-2</v>
      </c>
      <c r="Q43" s="65">
        <v>39</v>
      </c>
      <c r="R43" s="66">
        <f>Inputs!H46</f>
        <v>8.0000000000000004E-4</v>
      </c>
    </row>
    <row r="44" spans="1:18" x14ac:dyDescent="0.25">
      <c r="A44">
        <f t="shared" si="2"/>
        <v>119</v>
      </c>
      <c r="B44">
        <v>40</v>
      </c>
      <c r="C44" s="12">
        <f t="shared" si="3"/>
        <v>0.4</v>
      </c>
      <c r="D44" s="10">
        <f t="shared" si="4"/>
        <v>0.6</v>
      </c>
      <c r="E44" s="198">
        <f>IF(B44&lt;=$C$2,1,IF(B44=$C$2+1,PRODUCT($D$5:D44),E43*D44))</f>
        <v>5.6038297558759448E-6</v>
      </c>
      <c r="F44" s="10">
        <f t="shared" si="0"/>
        <v>0.20828904466294101</v>
      </c>
      <c r="G44" s="10">
        <f t="shared" si="5"/>
        <v>1.1672163463051625E-6</v>
      </c>
      <c r="I44" s="13">
        <f t="shared" si="1"/>
        <v>2.8019148779379725E-2</v>
      </c>
      <c r="J44" s="11">
        <f>(SUM(G45:$G$79)*$I$1)</f>
        <v>0</v>
      </c>
      <c r="K44" s="11">
        <f t="shared" si="6"/>
        <v>-5.8360817315258121E-3</v>
      </c>
      <c r="Q44" s="65">
        <v>40</v>
      </c>
      <c r="R44" s="66">
        <f>Inputs!H47</f>
        <v>8.5899999999999995E-4</v>
      </c>
    </row>
    <row r="45" spans="1:18" x14ac:dyDescent="0.25">
      <c r="A45">
        <f t="shared" si="2"/>
        <v>120</v>
      </c>
      <c r="B45">
        <v>41</v>
      </c>
      <c r="C45" s="12">
        <f t="shared" si="3"/>
        <v>1</v>
      </c>
      <c r="D45" s="10">
        <f t="shared" si="4"/>
        <v>0</v>
      </c>
      <c r="E45" s="198">
        <f>IF(B45&lt;=$C$2,1,IF(B45=$C$2+1,PRODUCT($D$5:D45),E44*D45))</f>
        <v>0</v>
      </c>
      <c r="F45" s="10">
        <f t="shared" si="0"/>
        <v>0</v>
      </c>
      <c r="G45" s="10">
        <f t="shared" si="5"/>
        <v>0</v>
      </c>
      <c r="I45" s="13">
        <f t="shared" si="1"/>
        <v>0</v>
      </c>
      <c r="J45" s="11">
        <f>(SUM(G46:$G$79)*$I$1)</f>
        <v>0</v>
      </c>
      <c r="K45" s="11">
        <f t="shared" si="6"/>
        <v>0</v>
      </c>
      <c r="Q45" s="65">
        <v>41</v>
      </c>
      <c r="R45" s="66">
        <f>Inputs!H48</f>
        <v>9.2599999999999996E-4</v>
      </c>
    </row>
    <row r="46" spans="1:18" x14ac:dyDescent="0.25">
      <c r="C46" s="12"/>
      <c r="D46" s="10"/>
      <c r="E46" s="198"/>
      <c r="F46" s="10"/>
      <c r="G46" s="10"/>
      <c r="I46" s="13"/>
      <c r="J46" s="11"/>
      <c r="K46" s="11"/>
      <c r="Q46" s="65">
        <v>42</v>
      </c>
      <c r="R46" s="66">
        <f>Inputs!H49</f>
        <v>9.990000000000001E-4</v>
      </c>
    </row>
    <row r="47" spans="1:18" x14ac:dyDescent="0.25">
      <c r="C47" s="12"/>
      <c r="D47" s="10"/>
      <c r="E47" s="198"/>
      <c r="F47" s="10"/>
      <c r="G47" s="10"/>
      <c r="I47" s="13"/>
      <c r="J47" s="11"/>
      <c r="K47" s="11"/>
      <c r="Q47" s="65">
        <v>43</v>
      </c>
      <c r="R47" s="66">
        <f>Inputs!H50</f>
        <v>1.0690000000000001E-3</v>
      </c>
    </row>
    <row r="48" spans="1:18" x14ac:dyDescent="0.25">
      <c r="C48" s="12"/>
      <c r="D48" s="10"/>
      <c r="E48" s="198"/>
      <c r="F48" s="10"/>
      <c r="G48" s="10"/>
      <c r="I48" s="13"/>
      <c r="J48" s="11"/>
      <c r="K48" s="11"/>
      <c r="Q48" s="65">
        <v>44</v>
      </c>
      <c r="R48" s="66">
        <f>Inputs!H51</f>
        <v>1.142E-3</v>
      </c>
    </row>
    <row r="49" spans="3:18" x14ac:dyDescent="0.25">
      <c r="C49" s="12"/>
      <c r="D49" s="10"/>
      <c r="E49" s="198"/>
      <c r="F49" s="10"/>
      <c r="G49" s="10"/>
      <c r="I49" s="13"/>
      <c r="J49" s="11"/>
      <c r="K49" s="11"/>
      <c r="Q49" s="65">
        <v>45</v>
      </c>
      <c r="R49" s="66">
        <f>Inputs!H52</f>
        <v>1.219E-3</v>
      </c>
    </row>
    <row r="50" spans="3:18" x14ac:dyDescent="0.25">
      <c r="C50" s="12"/>
      <c r="D50" s="10"/>
      <c r="E50" s="198"/>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c r="E133" s="35"/>
      <c r="F133" s="3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50">
    <cfRule type="cellIs" dxfId="20"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3" workbookViewId="0">
      <selection activeCell="D125" sqref="D125:F132"/>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145</v>
      </c>
      <c r="I1" s="3">
        <v>5000</v>
      </c>
      <c r="J1" s="181" t="s">
        <v>173</v>
      </c>
      <c r="L1" s="1"/>
      <c r="M1" s="4"/>
      <c r="N1" s="4"/>
      <c r="O1" s="4"/>
      <c r="P1" s="4"/>
      <c r="Q1" s="64"/>
      <c r="R1" s="28"/>
    </row>
    <row r="2" spans="1:18" ht="15.75" customHeight="1" thickBot="1" x14ac:dyDescent="0.3">
      <c r="B2" t="s">
        <v>227</v>
      </c>
      <c r="C2">
        <v>5</v>
      </c>
      <c r="F2" s="5">
        <f>'Asset and Liability Durations'!N22</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6.3453858182455134</v>
      </c>
      <c r="N3" s="10"/>
      <c r="O3" s="10"/>
      <c r="P3" s="10"/>
      <c r="Q3" s="31"/>
      <c r="R3" s="32"/>
    </row>
    <row r="4" spans="1:18" x14ac:dyDescent="0.25">
      <c r="A4">
        <v>79</v>
      </c>
      <c r="B4">
        <v>0</v>
      </c>
      <c r="C4" s="8"/>
      <c r="D4" s="7"/>
      <c r="E4" s="7"/>
      <c r="F4" s="7"/>
      <c r="G4" s="10">
        <v>1</v>
      </c>
      <c r="J4" s="11">
        <f>(SUM(G5:$G$79)*$I$1)</f>
        <v>41795.441978524119</v>
      </c>
      <c r="Q4" s="65">
        <v>0</v>
      </c>
      <c r="R4" s="66">
        <f>Inputs!H7</f>
        <v>1.6050000000000001E-3</v>
      </c>
    </row>
    <row r="5" spans="1:18" ht="15.75" thickBot="1" x14ac:dyDescent="0.3">
      <c r="A5">
        <f>B5+$A$4</f>
        <v>80</v>
      </c>
      <c r="B5">
        <v>1</v>
      </c>
      <c r="C5" s="12">
        <f>VLOOKUP(A5,$Q$4:$R$124,2,FALSE)</f>
        <v>3.3234E-2</v>
      </c>
      <c r="D5" s="10">
        <f>1-C5</f>
        <v>0.96676600000000001</v>
      </c>
      <c r="E5" s="198">
        <f>IF(B5&lt;=$C$2,1,IF(B5=$C$2+1,PRODUCT($D$5:D5),E4*D5))</f>
        <v>1</v>
      </c>
      <c r="F5" s="10">
        <f t="shared" ref="F5:F45" si="0">IF(D5=0,0,(1+$F$2)^-B5)</f>
        <v>0.96153846153846145</v>
      </c>
      <c r="G5" s="10">
        <f>F5*E5</f>
        <v>0.96153846153846145</v>
      </c>
      <c r="I5" s="13">
        <f t="shared" ref="I5:I45" si="1">E5*$I$1</f>
        <v>5000</v>
      </c>
      <c r="J5" s="11">
        <f>(SUM(G6:$G$79)*$I$1)</f>
        <v>36987.749670831821</v>
      </c>
      <c r="K5" s="11">
        <f>J5-J4</f>
        <v>-4807.6923076922976</v>
      </c>
      <c r="L5" s="14" t="s">
        <v>16</v>
      </c>
      <c r="M5" s="14" t="s">
        <v>17</v>
      </c>
      <c r="N5" s="14" t="s">
        <v>18</v>
      </c>
      <c r="O5" s="14" t="s">
        <v>47</v>
      </c>
      <c r="Q5" s="65">
        <v>1</v>
      </c>
      <c r="R5" s="66">
        <f>Inputs!H8</f>
        <v>4.0099999999999999E-4</v>
      </c>
    </row>
    <row r="6" spans="1:18" x14ac:dyDescent="0.25">
      <c r="A6">
        <f t="shared" ref="A6:A45" si="2">B6+$A$4</f>
        <v>81</v>
      </c>
      <c r="B6">
        <v>2</v>
      </c>
      <c r="C6" s="12">
        <f t="shared" ref="C6:C45" si="3">VLOOKUP(A6,$Q$4:$R$124,2,FALSE)</f>
        <v>3.7532999999999997E-2</v>
      </c>
      <c r="D6" s="10">
        <f t="shared" ref="D6:D45" si="4">1-C6</f>
        <v>0.96246699999999996</v>
      </c>
      <c r="E6" s="198">
        <f>IF(B6&lt;=$C$2,1,IF(B6=$C$2+1,PRODUCT($D$5:D6),E5*D6))</f>
        <v>1</v>
      </c>
      <c r="F6" s="10">
        <f t="shared" si="0"/>
        <v>0.92455621301775137</v>
      </c>
      <c r="G6" s="10">
        <f t="shared" ref="G6:G45" si="5">F6*E6</f>
        <v>0.92455621301775137</v>
      </c>
      <c r="I6" s="13">
        <f t="shared" si="1"/>
        <v>5000</v>
      </c>
      <c r="J6" s="11">
        <f>(SUM(G7:$G$79)*$I$1)</f>
        <v>32364.968605743066</v>
      </c>
      <c r="K6" s="11">
        <f t="shared" ref="K6:K45" si="6">J6-J5</f>
        <v>-4622.781065088755</v>
      </c>
      <c r="L6" s="14">
        <v>2</v>
      </c>
      <c r="M6" s="54" t="s">
        <v>44</v>
      </c>
      <c r="N6" s="15">
        <f>SUM(I5:I7)</f>
        <v>15000</v>
      </c>
      <c r="O6" s="16">
        <f>N6/SUM($N$6:$N$9)</f>
        <v>0.27498423076164247</v>
      </c>
      <c r="Q6" s="65">
        <v>2</v>
      </c>
      <c r="R6" s="66">
        <f>Inputs!H9</f>
        <v>2.7500000000000002E-4</v>
      </c>
    </row>
    <row r="7" spans="1:18" x14ac:dyDescent="0.25">
      <c r="A7">
        <f t="shared" si="2"/>
        <v>82</v>
      </c>
      <c r="B7">
        <v>3</v>
      </c>
      <c r="C7" s="12">
        <f t="shared" si="3"/>
        <v>4.2261E-2</v>
      </c>
      <c r="D7" s="10">
        <f t="shared" si="4"/>
        <v>0.95773900000000001</v>
      </c>
      <c r="E7" s="198">
        <f>IF(B7&lt;=$C$2,1,IF(B7=$C$2+1,PRODUCT($D$5:D7),E6*D7))</f>
        <v>1</v>
      </c>
      <c r="F7" s="10">
        <f t="shared" si="0"/>
        <v>0.88899635867091487</v>
      </c>
      <c r="G7" s="10">
        <f t="shared" si="5"/>
        <v>0.88899635867091487</v>
      </c>
      <c r="I7" s="13">
        <f t="shared" si="1"/>
        <v>5000</v>
      </c>
      <c r="J7" s="11">
        <f>(SUM(G8:$G$79)*$I$1)</f>
        <v>27919.986812388499</v>
      </c>
      <c r="K7" s="11">
        <f t="shared" si="6"/>
        <v>-4444.9817933545673</v>
      </c>
      <c r="L7" s="14">
        <v>5</v>
      </c>
      <c r="M7" s="19" t="s">
        <v>45</v>
      </c>
      <c r="N7" s="17">
        <f>SUM(I8:I11)</f>
        <v>17300.802277013987</v>
      </c>
      <c r="O7" s="18">
        <f>N7/SUM($N$6:$N$9)</f>
        <v>0.31716318704693092</v>
      </c>
      <c r="Q7" s="65">
        <v>3</v>
      </c>
      <c r="R7" s="66">
        <f>Inputs!H10</f>
        <v>2.2900000000000001E-4</v>
      </c>
    </row>
    <row r="8" spans="1:18" x14ac:dyDescent="0.25">
      <c r="A8">
        <f t="shared" si="2"/>
        <v>83</v>
      </c>
      <c r="B8">
        <v>4</v>
      </c>
      <c r="C8" s="12">
        <f t="shared" si="3"/>
        <v>4.7440999999999997E-2</v>
      </c>
      <c r="D8" s="10">
        <f t="shared" si="4"/>
        <v>0.95255900000000004</v>
      </c>
      <c r="E8" s="198">
        <f>IF(B8&lt;=$C$2,1,IF(B8=$C$2+1,PRODUCT($D$5:D8),E7*D8))</f>
        <v>1</v>
      </c>
      <c r="F8" s="10">
        <f t="shared" si="0"/>
        <v>0.85480419102972571</v>
      </c>
      <c r="G8" s="10">
        <f>F8*E8</f>
        <v>0.85480419102972571</v>
      </c>
      <c r="I8" s="13">
        <f t="shared" si="1"/>
        <v>5000</v>
      </c>
      <c r="J8" s="11">
        <f>(SUM(G9:$G$79)*$I$1)</f>
        <v>23645.965857239858</v>
      </c>
      <c r="K8" s="11">
        <f t="shared" si="6"/>
        <v>-4274.0209551486405</v>
      </c>
      <c r="L8" s="14">
        <v>10</v>
      </c>
      <c r="M8" s="19" t="s">
        <v>46</v>
      </c>
      <c r="N8" s="17">
        <f>SUM(I12:I19)</f>
        <v>18002.276777260173</v>
      </c>
      <c r="O8" s="18">
        <f>N8/SUM($N$6:$N$9)</f>
        <v>0.33002281543687129</v>
      </c>
      <c r="Q8" s="65">
        <v>4</v>
      </c>
      <c r="R8" s="66">
        <f>Inputs!H11</f>
        <v>1.74E-4</v>
      </c>
    </row>
    <row r="9" spans="1:18" ht="15.75" thickBot="1" x14ac:dyDescent="0.3">
      <c r="A9">
        <f t="shared" si="2"/>
        <v>84</v>
      </c>
      <c r="B9">
        <v>5</v>
      </c>
      <c r="C9" s="12">
        <f t="shared" si="3"/>
        <v>5.3233000000000003E-2</v>
      </c>
      <c r="D9" s="10">
        <f t="shared" si="4"/>
        <v>0.94676700000000003</v>
      </c>
      <c r="E9" s="198">
        <f>IF(B9&lt;=$C$2,1,IF(B9=$C$2+1,PRODUCT($D$5:D9),E8*D9))</f>
        <v>1</v>
      </c>
      <c r="F9" s="10">
        <f t="shared" si="0"/>
        <v>0.82192710675935154</v>
      </c>
      <c r="G9" s="10">
        <f t="shared" si="5"/>
        <v>0.82192710675935154</v>
      </c>
      <c r="I9" s="13">
        <f t="shared" si="1"/>
        <v>5000</v>
      </c>
      <c r="J9" s="11">
        <f>(SUM(G10:$G$79)*$I$1)</f>
        <v>19536.3303234431</v>
      </c>
      <c r="K9" s="11">
        <f t="shared" si="6"/>
        <v>-4109.635533796758</v>
      </c>
      <c r="L9" s="14">
        <v>30</v>
      </c>
      <c r="M9" s="20" t="s">
        <v>48</v>
      </c>
      <c r="N9" s="21">
        <f>SUM(I20:I70)</f>
        <v>4245.5034533608459</v>
      </c>
      <c r="O9" s="22">
        <f>N9/SUM($N$6:$N$9)</f>
        <v>7.782976675455526E-2</v>
      </c>
      <c r="Q9" s="65">
        <v>5</v>
      </c>
      <c r="R9" s="66">
        <f>Inputs!H12</f>
        <v>1.6799999999999999E-4</v>
      </c>
    </row>
    <row r="10" spans="1:18" x14ac:dyDescent="0.25">
      <c r="A10">
        <f t="shared" si="2"/>
        <v>85</v>
      </c>
      <c r="B10">
        <v>6</v>
      </c>
      <c r="C10" s="12">
        <f t="shared" si="3"/>
        <v>5.9854999999999998E-2</v>
      </c>
      <c r="D10" s="10">
        <f t="shared" si="4"/>
        <v>0.94014500000000001</v>
      </c>
      <c r="E10" s="198">
        <f>IF(B10&lt;=$C$2,1,IF(B10=$C$2+1,PRODUCT($D$5:D10),E9*D10))</f>
        <v>0.75558656331937046</v>
      </c>
      <c r="F10" s="10">
        <f t="shared" si="0"/>
        <v>0.79031452573014571</v>
      </c>
      <c r="G10" s="10">
        <f t="shared" si="5"/>
        <v>0.59715103643781897</v>
      </c>
      <c r="I10" s="13">
        <f t="shared" si="1"/>
        <v>3777.9328165968523</v>
      </c>
      <c r="J10" s="11">
        <f>(SUM(G11:$G$79)*$I$1)</f>
        <v>16550.575141254005</v>
      </c>
      <c r="K10" s="11">
        <f t="shared" si="6"/>
        <v>-2985.7551821890956</v>
      </c>
      <c r="L10" s="53">
        <f>+SUMPRODUCT(L6:L9,O6:O9)</f>
        <v>7.7709055537633098</v>
      </c>
      <c r="O10" s="23">
        <f>SUM(O6:O9)</f>
        <v>0.99999999999999989</v>
      </c>
      <c r="Q10" s="65">
        <v>6</v>
      </c>
      <c r="R10" s="66">
        <f>Inputs!H13</f>
        <v>1.65E-4</v>
      </c>
    </row>
    <row r="11" spans="1:18" x14ac:dyDescent="0.25">
      <c r="A11">
        <f t="shared" si="2"/>
        <v>86</v>
      </c>
      <c r="B11">
        <v>7</v>
      </c>
      <c r="C11" s="12">
        <f t="shared" si="3"/>
        <v>6.7514000000000005E-2</v>
      </c>
      <c r="D11" s="10">
        <f t="shared" si="4"/>
        <v>0.93248600000000004</v>
      </c>
      <c r="E11" s="198">
        <f>IF(B11&lt;=$C$2,1,IF(B11=$C$2+1,PRODUCT($D$5:D11),E10*D11))</f>
        <v>0.70457389208342647</v>
      </c>
      <c r="F11" s="10">
        <f t="shared" si="0"/>
        <v>0.75991781320206331</v>
      </c>
      <c r="G11" s="10">
        <f t="shared" si="5"/>
        <v>0.53541825131130394</v>
      </c>
      <c r="I11" s="13">
        <f t="shared" si="1"/>
        <v>3522.8694604171324</v>
      </c>
      <c r="J11" s="11">
        <f>(SUM(G12:$G$79)*$I$1)</f>
        <v>13873.483884697485</v>
      </c>
      <c r="K11" s="11">
        <f t="shared" si="6"/>
        <v>-2677.0912565565195</v>
      </c>
      <c r="Q11" s="65">
        <v>7</v>
      </c>
      <c r="R11" s="66">
        <f>Inputs!H14</f>
        <v>1.5899999999999999E-4</v>
      </c>
    </row>
    <row r="12" spans="1:18" x14ac:dyDescent="0.25">
      <c r="A12">
        <f t="shared" si="2"/>
        <v>87</v>
      </c>
      <c r="B12">
        <v>8</v>
      </c>
      <c r="C12" s="12">
        <f t="shared" si="3"/>
        <v>7.6340000000000005E-2</v>
      </c>
      <c r="D12" s="10">
        <f t="shared" si="4"/>
        <v>0.92366000000000004</v>
      </c>
      <c r="E12" s="198">
        <f>IF(B12&lt;=$C$2,1,IF(B12=$C$2+1,PRODUCT($D$5:D12),E11*D12))</f>
        <v>0.65078672116177771</v>
      </c>
      <c r="F12" s="10">
        <f t="shared" si="0"/>
        <v>0.73069020500198378</v>
      </c>
      <c r="G12" s="10">
        <f t="shared" si="5"/>
        <v>0.47552348269826822</v>
      </c>
      <c r="I12" s="13">
        <f t="shared" si="1"/>
        <v>3253.9336058088884</v>
      </c>
      <c r="J12" s="11">
        <f>(SUM(G13:$G$79)*$I$1)</f>
        <v>11495.866471206144</v>
      </c>
      <c r="K12" s="11">
        <f t="shared" si="6"/>
        <v>-2377.6174134913417</v>
      </c>
      <c r="Q12" s="65">
        <v>8</v>
      </c>
      <c r="R12" s="66">
        <f>Inputs!H15</f>
        <v>1.4300000000000001E-4</v>
      </c>
    </row>
    <row r="13" spans="1:18" x14ac:dyDescent="0.25">
      <c r="A13">
        <f t="shared" si="2"/>
        <v>88</v>
      </c>
      <c r="B13">
        <v>9</v>
      </c>
      <c r="C13" s="12">
        <f t="shared" si="3"/>
        <v>8.6388000000000006E-2</v>
      </c>
      <c r="D13" s="10">
        <f t="shared" si="4"/>
        <v>0.91361199999999998</v>
      </c>
      <c r="E13" s="198">
        <f>IF(B13&lt;=$C$2,1,IF(B13=$C$2+1,PRODUCT($D$5:D13),E12*D13))</f>
        <v>0.59456655789405399</v>
      </c>
      <c r="F13" s="10">
        <f t="shared" si="0"/>
        <v>0.70258673557883045</v>
      </c>
      <c r="G13" s="10">
        <f t="shared" si="5"/>
        <v>0.41773457699512512</v>
      </c>
      <c r="I13" s="13">
        <f t="shared" si="1"/>
        <v>2972.8327894702697</v>
      </c>
      <c r="J13" s="11">
        <f>(SUM(G14:$G$79)*$I$1)</f>
        <v>9407.1935862305163</v>
      </c>
      <c r="K13" s="11">
        <f t="shared" si="6"/>
        <v>-2088.6728849756273</v>
      </c>
      <c r="Q13" s="65">
        <v>9</v>
      </c>
      <c r="R13" s="66">
        <f>Inputs!H16</f>
        <v>1.2899999999999999E-4</v>
      </c>
    </row>
    <row r="14" spans="1:18" x14ac:dyDescent="0.25">
      <c r="A14">
        <f t="shared" si="2"/>
        <v>89</v>
      </c>
      <c r="B14">
        <v>10</v>
      </c>
      <c r="C14" s="12">
        <f t="shared" si="3"/>
        <v>9.7633999999999999E-2</v>
      </c>
      <c r="D14" s="10">
        <f t="shared" si="4"/>
        <v>0.902366</v>
      </c>
      <c r="E14" s="198">
        <f>IF(B14&lt;=$C$2,1,IF(B14=$C$2+1,PRODUCT($D$5:D14),E13*D14))</f>
        <v>0.53651664658062592</v>
      </c>
      <c r="F14" s="10">
        <f t="shared" si="0"/>
        <v>0.67556416882579851</v>
      </c>
      <c r="G14" s="10">
        <f t="shared" si="5"/>
        <v>0.36245142240844525</v>
      </c>
      <c r="I14" s="13">
        <f t="shared" si="1"/>
        <v>2682.5832329031296</v>
      </c>
      <c r="J14" s="11">
        <f>(SUM(G15:$G$79)*$I$1)</f>
        <v>7594.936474188291</v>
      </c>
      <c r="K14" s="11">
        <f t="shared" si="6"/>
        <v>-1812.2571120422253</v>
      </c>
      <c r="Q14" s="65">
        <v>10</v>
      </c>
      <c r="R14" s="66">
        <f>Inputs!H17</f>
        <v>1.13E-4</v>
      </c>
    </row>
    <row r="15" spans="1:18" x14ac:dyDescent="0.25">
      <c r="A15">
        <f t="shared" si="2"/>
        <v>90</v>
      </c>
      <c r="B15">
        <v>11</v>
      </c>
      <c r="C15" s="12">
        <f t="shared" si="3"/>
        <v>0.10999299999999999</v>
      </c>
      <c r="D15" s="10">
        <f t="shared" si="4"/>
        <v>0.89000699999999999</v>
      </c>
      <c r="E15" s="198">
        <f>IF(B15&lt;=$C$2,1,IF(B15=$C$2+1,PRODUCT($D$5:D15),E14*D15))</f>
        <v>0.47750357107328312</v>
      </c>
      <c r="F15" s="10">
        <f t="shared" si="0"/>
        <v>0.6495809315632679</v>
      </c>
      <c r="G15" s="10">
        <f t="shared" si="5"/>
        <v>0.31017721452257035</v>
      </c>
      <c r="I15" s="13">
        <f t="shared" si="1"/>
        <v>2387.5178553664155</v>
      </c>
      <c r="J15" s="11">
        <f>(SUM(G16:$G$79)*$I$1)</f>
        <v>6044.0504015754395</v>
      </c>
      <c r="K15" s="11">
        <f t="shared" si="6"/>
        <v>-1550.8860726128514</v>
      </c>
      <c r="Q15" s="65">
        <v>11</v>
      </c>
      <c r="R15" s="66">
        <f>Inputs!H18</f>
        <v>1.11E-4</v>
      </c>
    </row>
    <row r="16" spans="1:18" x14ac:dyDescent="0.25">
      <c r="A16">
        <f t="shared" si="2"/>
        <v>91</v>
      </c>
      <c r="B16">
        <v>12</v>
      </c>
      <c r="C16" s="12">
        <f t="shared" si="3"/>
        <v>0.12311900000000001</v>
      </c>
      <c r="D16" s="10">
        <f t="shared" si="4"/>
        <v>0.87688100000000002</v>
      </c>
      <c r="E16" s="198">
        <f>IF(B16&lt;=$C$2,1,IF(B16=$C$2+1,PRODUCT($D$5:D16),E15*D16))</f>
        <v>0.4187138089063116</v>
      </c>
      <c r="F16" s="10">
        <f t="shared" si="0"/>
        <v>0.62459704958006512</v>
      </c>
      <c r="G16" s="10">
        <f t="shared" si="5"/>
        <v>0.26152740966131344</v>
      </c>
      <c r="I16" s="13">
        <f t="shared" si="1"/>
        <v>2093.5690445315581</v>
      </c>
      <c r="J16" s="11">
        <f>(SUM(G17:$G$79)*$I$1)</f>
        <v>4736.413353268872</v>
      </c>
      <c r="K16" s="11">
        <f t="shared" si="6"/>
        <v>-1307.6370483065675</v>
      </c>
      <c r="Q16" s="65">
        <v>12</v>
      </c>
      <c r="R16" s="66">
        <f>Inputs!H19</f>
        <v>1.3200000000000001E-4</v>
      </c>
    </row>
    <row r="17" spans="1:18" x14ac:dyDescent="0.25">
      <c r="A17">
        <f t="shared" si="2"/>
        <v>92</v>
      </c>
      <c r="B17">
        <v>13</v>
      </c>
      <c r="C17" s="12">
        <f t="shared" si="3"/>
        <v>0.13716800000000001</v>
      </c>
      <c r="D17" s="10">
        <f t="shared" si="4"/>
        <v>0.86283200000000004</v>
      </c>
      <c r="E17" s="198">
        <f>IF(B17&lt;=$C$2,1,IF(B17=$C$2+1,PRODUCT($D$5:D17),E16*D17))</f>
        <v>0.36127967316625065</v>
      </c>
      <c r="F17" s="10">
        <f t="shared" si="0"/>
        <v>0.600574086134678</v>
      </c>
      <c r="G17" s="10">
        <f t="shared" si="5"/>
        <v>0.21697520955085614</v>
      </c>
      <c r="I17" s="13">
        <f t="shared" si="1"/>
        <v>1806.3983658312532</v>
      </c>
      <c r="J17" s="11">
        <f>(SUM(G18:$G$79)*$I$1)</f>
        <v>3651.5373055145915</v>
      </c>
      <c r="K17" s="11">
        <f t="shared" si="6"/>
        <v>-1084.8760477542805</v>
      </c>
      <c r="Q17" s="65">
        <v>13</v>
      </c>
      <c r="R17" s="66">
        <f>Inputs!H20</f>
        <v>1.6899999999999999E-4</v>
      </c>
    </row>
    <row r="18" spans="1:18" x14ac:dyDescent="0.25">
      <c r="A18">
        <f t="shared" si="2"/>
        <v>93</v>
      </c>
      <c r="B18">
        <v>14</v>
      </c>
      <c r="C18" s="12">
        <f t="shared" si="3"/>
        <v>0.152171</v>
      </c>
      <c r="D18" s="10">
        <f t="shared" si="4"/>
        <v>0.84782899999999994</v>
      </c>
      <c r="E18" s="198">
        <f>IF(B18&lt;=$C$2,1,IF(B18=$C$2+1,PRODUCT($D$5:D18),E17*D18))</f>
        <v>0.3063033840208691</v>
      </c>
      <c r="F18" s="10">
        <f t="shared" si="0"/>
        <v>0.57747508282180582</v>
      </c>
      <c r="G18" s="10">
        <f t="shared" si="5"/>
        <v>0.17688257205605076</v>
      </c>
      <c r="I18" s="13">
        <f t="shared" si="1"/>
        <v>1531.5169201043454</v>
      </c>
      <c r="J18" s="11">
        <f>(SUM(G19:$G$79)*$I$1)</f>
        <v>2767.1244452343381</v>
      </c>
      <c r="K18" s="11">
        <f t="shared" si="6"/>
        <v>-884.41286028025343</v>
      </c>
      <c r="Q18" s="65">
        <v>14</v>
      </c>
      <c r="R18" s="66">
        <f>Inputs!H21</f>
        <v>2.13E-4</v>
      </c>
    </row>
    <row r="19" spans="1:18" x14ac:dyDescent="0.25">
      <c r="A19">
        <f t="shared" si="2"/>
        <v>94</v>
      </c>
      <c r="B19">
        <v>15</v>
      </c>
      <c r="C19" s="12">
        <f t="shared" si="3"/>
        <v>0.16819400000000001</v>
      </c>
      <c r="D19" s="10">
        <f t="shared" si="4"/>
        <v>0.83180600000000005</v>
      </c>
      <c r="E19" s="198">
        <f>IF(B19&lt;=$C$2,1,IF(B19=$C$2+1,PRODUCT($D$5:D19),E18*D19))</f>
        <v>0.25478499264886306</v>
      </c>
      <c r="F19" s="10">
        <f t="shared" si="0"/>
        <v>0.55526450271327477</v>
      </c>
      <c r="G19" s="10">
        <f t="shared" si="5"/>
        <v>0.14147306224197631</v>
      </c>
      <c r="I19" s="13">
        <f t="shared" si="1"/>
        <v>1273.9249632443152</v>
      </c>
      <c r="J19" s="11">
        <f>(SUM(G20:$G$79)*$I$1)</f>
        <v>2059.7591340244558</v>
      </c>
      <c r="K19" s="11">
        <f t="shared" si="6"/>
        <v>-707.36531120988229</v>
      </c>
      <c r="Q19" s="65">
        <v>15</v>
      </c>
      <c r="R19" s="66">
        <f>Inputs!H22</f>
        <v>2.5399999999999999E-4</v>
      </c>
    </row>
    <row r="20" spans="1:18" x14ac:dyDescent="0.25">
      <c r="A20">
        <f t="shared" si="2"/>
        <v>95</v>
      </c>
      <c r="B20">
        <v>16</v>
      </c>
      <c r="C20" s="12">
        <f t="shared" si="3"/>
        <v>0.18526000000000001</v>
      </c>
      <c r="D20" s="10">
        <f t="shared" si="4"/>
        <v>0.81474000000000002</v>
      </c>
      <c r="E20" s="198">
        <f>IF(B20&lt;=$C$2,1,IF(B20=$C$2+1,PRODUCT($D$5:D20),E19*D20))</f>
        <v>0.2075835249107347</v>
      </c>
      <c r="F20" s="10">
        <f t="shared" si="0"/>
        <v>0.53390817568584104</v>
      </c>
      <c r="G20" s="10">
        <f t="shared" si="5"/>
        <v>0.1108305410875267</v>
      </c>
      <c r="I20" s="13">
        <f t="shared" si="1"/>
        <v>1037.9176245536735</v>
      </c>
      <c r="J20" s="11">
        <f>(SUM(G21:$G$79)*$I$1)</f>
        <v>1505.6064285868224</v>
      </c>
      <c r="K20" s="11">
        <f t="shared" si="6"/>
        <v>-554.15270543763336</v>
      </c>
      <c r="Q20" s="65">
        <v>16</v>
      </c>
      <c r="R20" s="66">
        <f>Inputs!H23</f>
        <v>2.9300000000000002E-4</v>
      </c>
    </row>
    <row r="21" spans="1:18" x14ac:dyDescent="0.25">
      <c r="A21">
        <f t="shared" si="2"/>
        <v>96</v>
      </c>
      <c r="B21">
        <v>17</v>
      </c>
      <c r="C21" s="12">
        <f t="shared" si="3"/>
        <v>0.197322</v>
      </c>
      <c r="D21" s="10">
        <f t="shared" si="4"/>
        <v>0.802678</v>
      </c>
      <c r="E21" s="198">
        <f>IF(B21&lt;=$C$2,1,IF(B21=$C$2+1,PRODUCT($D$5:D21),E20*D21))</f>
        <v>0.16662272860829871</v>
      </c>
      <c r="F21" s="10">
        <f t="shared" si="0"/>
        <v>0.51337324585177024</v>
      </c>
      <c r="G21" s="10">
        <f t="shared" si="5"/>
        <v>8.5539651018320922E-2</v>
      </c>
      <c r="I21" s="13">
        <f t="shared" si="1"/>
        <v>833.11364304149356</v>
      </c>
      <c r="J21" s="11">
        <f>(SUM(G22:$G$79)*$I$1)</f>
        <v>1077.9081734952174</v>
      </c>
      <c r="K21" s="11">
        <f t="shared" si="6"/>
        <v>-427.69825509160501</v>
      </c>
      <c r="Q21" s="65">
        <v>17</v>
      </c>
      <c r="R21" s="66">
        <f>Inputs!H24</f>
        <v>3.28E-4</v>
      </c>
    </row>
    <row r="22" spans="1:18" x14ac:dyDescent="0.25">
      <c r="A22">
        <f t="shared" si="2"/>
        <v>97</v>
      </c>
      <c r="B22">
        <v>18</v>
      </c>
      <c r="C22" s="12">
        <f t="shared" si="3"/>
        <v>0.214751</v>
      </c>
      <c r="D22" s="10">
        <f t="shared" si="4"/>
        <v>0.78524899999999997</v>
      </c>
      <c r="E22" s="198">
        <f>IF(B22&lt;=$C$2,1,IF(B22=$C$2+1,PRODUCT($D$5:D22),E21*D22))</f>
        <v>0.13084033101693796</v>
      </c>
      <c r="F22" s="10">
        <f t="shared" si="0"/>
        <v>0.49362812101131748</v>
      </c>
      <c r="G22" s="10">
        <f t="shared" si="5"/>
        <v>6.4586466752389882E-2</v>
      </c>
      <c r="I22" s="13">
        <f t="shared" si="1"/>
        <v>654.20165508468983</v>
      </c>
      <c r="J22" s="11">
        <f>(SUM(G23:$G$79)*$I$1)</f>
        <v>754.97583973326812</v>
      </c>
      <c r="K22" s="11">
        <f t="shared" si="6"/>
        <v>-322.93233376194928</v>
      </c>
      <c r="Q22" s="65">
        <v>18</v>
      </c>
      <c r="R22" s="66">
        <f>Inputs!H25</f>
        <v>3.59E-4</v>
      </c>
    </row>
    <row r="23" spans="1:18" x14ac:dyDescent="0.25">
      <c r="A23">
        <f t="shared" si="2"/>
        <v>98</v>
      </c>
      <c r="B23">
        <v>19</v>
      </c>
      <c r="C23" s="12">
        <f t="shared" si="3"/>
        <v>0.23250699999999999</v>
      </c>
      <c r="D23" s="10">
        <f t="shared" si="4"/>
        <v>0.76749299999999998</v>
      </c>
      <c r="E23" s="198">
        <f>IF(B23&lt;=$C$2,1,IF(B23=$C$2+1,PRODUCT($D$5:D23),E22*D23))</f>
        <v>0.10041903817318276</v>
      </c>
      <c r="F23" s="10">
        <f t="shared" si="0"/>
        <v>0.47464242404934376</v>
      </c>
      <c r="G23" s="10">
        <f t="shared" si="5"/>
        <v>4.766313569922305E-2</v>
      </c>
      <c r="I23" s="13">
        <f t="shared" si="1"/>
        <v>502.09519086591382</v>
      </c>
      <c r="J23" s="11">
        <f>(SUM(G24:$G$79)*$I$1)</f>
        <v>516.66016123715292</v>
      </c>
      <c r="K23" s="11">
        <f t="shared" si="6"/>
        <v>-238.3156784961152</v>
      </c>
      <c r="Q23" s="65">
        <v>19</v>
      </c>
      <c r="R23" s="66">
        <f>Inputs!H26</f>
        <v>3.8699999999999997E-4</v>
      </c>
    </row>
    <row r="24" spans="1:18" x14ac:dyDescent="0.25">
      <c r="A24">
        <f t="shared" si="2"/>
        <v>99</v>
      </c>
      <c r="B24">
        <v>20</v>
      </c>
      <c r="C24" s="12">
        <f t="shared" si="3"/>
        <v>0.25039699999999998</v>
      </c>
      <c r="D24" s="10">
        <f t="shared" si="4"/>
        <v>0.74960300000000002</v>
      </c>
      <c r="E24" s="198">
        <f>IF(B24&lt;=$C$2,1,IF(B24=$C$2+1,PRODUCT($D$5:D24),E23*D24))</f>
        <v>7.5274412271732316E-2</v>
      </c>
      <c r="F24" s="10">
        <f t="shared" si="0"/>
        <v>0.45638694620129205</v>
      </c>
      <c r="G24" s="10">
        <f t="shared" si="5"/>
        <v>3.4354259143792976E-2</v>
      </c>
      <c r="I24" s="13">
        <f t="shared" si="1"/>
        <v>376.3720613586616</v>
      </c>
      <c r="J24" s="11">
        <f>(SUM(G25:$G$79)*$I$1)</f>
        <v>344.88886551818808</v>
      </c>
      <c r="K24" s="11">
        <f t="shared" si="6"/>
        <v>-171.77129571896484</v>
      </c>
      <c r="Q24" s="65">
        <v>20</v>
      </c>
      <c r="R24" s="66">
        <f>Inputs!H27</f>
        <v>4.1399999999999998E-4</v>
      </c>
    </row>
    <row r="25" spans="1:18" x14ac:dyDescent="0.25">
      <c r="A25">
        <f t="shared" si="2"/>
        <v>100</v>
      </c>
      <c r="B25">
        <v>21</v>
      </c>
      <c r="C25" s="12">
        <f t="shared" si="3"/>
        <v>0.26860699999999998</v>
      </c>
      <c r="D25" s="10">
        <f t="shared" si="4"/>
        <v>0.73139299999999996</v>
      </c>
      <c r="E25" s="198">
        <f>IF(B25&lt;=$C$2,1,IF(B25=$C$2+1,PRODUCT($D$5:D25),E24*D25))</f>
        <v>5.5055178214659113E-2</v>
      </c>
      <c r="F25" s="10">
        <f t="shared" si="0"/>
        <v>0.43883360211662686</v>
      </c>
      <c r="G25" s="10">
        <f t="shared" si="5"/>
        <v>2.4160062171111701E-2</v>
      </c>
      <c r="I25" s="13">
        <f t="shared" si="1"/>
        <v>275.27589107329555</v>
      </c>
      <c r="J25" s="11">
        <f>(SUM(G26:$G$79)*$I$1)</f>
        <v>224.08855466262943</v>
      </c>
      <c r="K25" s="11">
        <f t="shared" si="6"/>
        <v>-120.80031085555865</v>
      </c>
      <c r="Q25" s="65">
        <v>21</v>
      </c>
      <c r="R25" s="66">
        <f>Inputs!H28</f>
        <v>4.4299999999999998E-4</v>
      </c>
    </row>
    <row r="26" spans="1:18" x14ac:dyDescent="0.25">
      <c r="A26">
        <f t="shared" si="2"/>
        <v>101</v>
      </c>
      <c r="B26">
        <v>22</v>
      </c>
      <c r="C26" s="12">
        <f t="shared" si="3"/>
        <v>0.290016</v>
      </c>
      <c r="D26" s="10">
        <f t="shared" si="4"/>
        <v>0.70998399999999995</v>
      </c>
      <c r="E26" s="198">
        <f>IF(B26&lt;=$C$2,1,IF(B26=$C$2+1,PRODUCT($D$5:D26),E25*D26))</f>
        <v>3.9088295649556536E-2</v>
      </c>
      <c r="F26" s="10">
        <f t="shared" si="0"/>
        <v>0.42195538665060278</v>
      </c>
      <c r="G26" s="10">
        <f t="shared" si="5"/>
        <v>1.6493516904321704E-2</v>
      </c>
      <c r="I26" s="13">
        <f t="shared" si="1"/>
        <v>195.44147824778267</v>
      </c>
      <c r="J26" s="11">
        <f>(SUM(G27:$G$79)*$I$1)</f>
        <v>141.62097014102099</v>
      </c>
      <c r="K26" s="11">
        <f t="shared" si="6"/>
        <v>-82.467584521608444</v>
      </c>
      <c r="Q26" s="65">
        <v>22</v>
      </c>
      <c r="R26" s="66">
        <f>Inputs!H29</f>
        <v>4.73E-4</v>
      </c>
    </row>
    <row r="27" spans="1:18" x14ac:dyDescent="0.25">
      <c r="A27">
        <f t="shared" si="2"/>
        <v>102</v>
      </c>
      <c r="B27">
        <v>23</v>
      </c>
      <c r="C27" s="12">
        <f t="shared" si="3"/>
        <v>0.31184899999999999</v>
      </c>
      <c r="D27" s="10">
        <f t="shared" si="4"/>
        <v>0.68815099999999996</v>
      </c>
      <c r="E27" s="198">
        <f>IF(B27&lt;=$C$2,1,IF(B27=$C$2+1,PRODUCT($D$5:D27),E26*D27))</f>
        <v>2.6898649739537976E-2</v>
      </c>
      <c r="F27" s="10">
        <f t="shared" si="0"/>
        <v>0.40572633331788732</v>
      </c>
      <c r="G27" s="10">
        <f t="shared" si="5"/>
        <v>1.0913490530024888E-2</v>
      </c>
      <c r="I27" s="13">
        <f t="shared" si="1"/>
        <v>134.49324869768989</v>
      </c>
      <c r="J27" s="11">
        <f>(SUM(G28:$G$79)*$I$1)</f>
        <v>87.053517490896553</v>
      </c>
      <c r="K27" s="11">
        <f t="shared" si="6"/>
        <v>-54.567452650124437</v>
      </c>
      <c r="Q27" s="65">
        <v>23</v>
      </c>
      <c r="R27" s="66">
        <f>Inputs!H30</f>
        <v>5.13E-4</v>
      </c>
    </row>
    <row r="28" spans="1:18" x14ac:dyDescent="0.25">
      <c r="A28">
        <f t="shared" si="2"/>
        <v>103</v>
      </c>
      <c r="B28">
        <v>24</v>
      </c>
      <c r="C28" s="12">
        <f t="shared" si="3"/>
        <v>0.33396199999999998</v>
      </c>
      <c r="D28" s="10">
        <f t="shared" si="4"/>
        <v>0.66603800000000002</v>
      </c>
      <c r="E28" s="198">
        <f>IF(B28&lt;=$C$2,1,IF(B28=$C$2+1,PRODUCT($D$5:D28),E27*D28))</f>
        <v>1.7915522875222394E-2</v>
      </c>
      <c r="F28" s="10">
        <f t="shared" si="0"/>
        <v>0.39012147434412242</v>
      </c>
      <c r="G28" s="10">
        <f t="shared" si="5"/>
        <v>6.989230197727612E-3</v>
      </c>
      <c r="I28" s="13">
        <f t="shared" si="1"/>
        <v>89.577614376111967</v>
      </c>
      <c r="J28" s="11">
        <f>(SUM(G29:$G$79)*$I$1)</f>
        <v>52.107366502258479</v>
      </c>
      <c r="K28" s="11">
        <f t="shared" si="6"/>
        <v>-34.946150988638074</v>
      </c>
      <c r="Q28" s="65">
        <v>24</v>
      </c>
      <c r="R28" s="66">
        <f>Inputs!H31</f>
        <v>5.5400000000000002E-4</v>
      </c>
    </row>
    <row r="29" spans="1:18" x14ac:dyDescent="0.25">
      <c r="A29">
        <f t="shared" si="2"/>
        <v>104</v>
      </c>
      <c r="B29">
        <v>25</v>
      </c>
      <c r="C29" s="12">
        <f t="shared" si="3"/>
        <v>0.356207</v>
      </c>
      <c r="D29" s="10">
        <f t="shared" si="4"/>
        <v>0.64379300000000006</v>
      </c>
      <c r="E29" s="198">
        <f>IF(B29&lt;=$C$2,1,IF(B29=$C$2+1,PRODUCT($D$5:D29),E28*D29))</f>
        <v>1.1533888218408051E-2</v>
      </c>
      <c r="F29" s="10">
        <f t="shared" si="0"/>
        <v>0.37511680225396377</v>
      </c>
      <c r="G29" s="10">
        <f t="shared" si="5"/>
        <v>4.3265552660438954E-3</v>
      </c>
      <c r="I29" s="13">
        <f t="shared" si="1"/>
        <v>57.669441092040259</v>
      </c>
      <c r="J29" s="11">
        <f>(SUM(G30:$G$79)*$I$1)</f>
        <v>30.474590172038994</v>
      </c>
      <c r="K29" s="11">
        <f t="shared" si="6"/>
        <v>-21.632776330219485</v>
      </c>
      <c r="Q29" s="65">
        <v>25</v>
      </c>
      <c r="R29" s="66">
        <f>Inputs!H32</f>
        <v>6.02E-4</v>
      </c>
    </row>
    <row r="30" spans="1:18" x14ac:dyDescent="0.25">
      <c r="A30">
        <f t="shared" si="2"/>
        <v>105</v>
      </c>
      <c r="B30">
        <v>26</v>
      </c>
      <c r="C30" s="12">
        <f t="shared" si="3"/>
        <v>0.38</v>
      </c>
      <c r="D30" s="10">
        <f t="shared" si="4"/>
        <v>0.62</v>
      </c>
      <c r="E30" s="198">
        <f>IF(B30&lt;=$C$2,1,IF(B30=$C$2+1,PRODUCT($D$5:D30),E29*D30))</f>
        <v>7.1510106954129913E-3</v>
      </c>
      <c r="F30" s="10">
        <f t="shared" si="0"/>
        <v>0.36068923293650368</v>
      </c>
      <c r="G30" s="10">
        <f t="shared" si="5"/>
        <v>2.5792925624492456E-3</v>
      </c>
      <c r="I30" s="13">
        <f t="shared" si="1"/>
        <v>35.755053477064955</v>
      </c>
      <c r="J30" s="11">
        <f>(SUM(G31:$G$79)*$I$1)</f>
        <v>17.57812735979277</v>
      </c>
      <c r="K30" s="11">
        <f t="shared" si="6"/>
        <v>-12.896462812246224</v>
      </c>
      <c r="Q30" s="65">
        <v>26</v>
      </c>
      <c r="R30" s="66">
        <f>Inputs!H33</f>
        <v>6.5499999999999998E-4</v>
      </c>
    </row>
    <row r="31" spans="1:18" x14ac:dyDescent="0.25">
      <c r="A31">
        <f t="shared" si="2"/>
        <v>106</v>
      </c>
      <c r="B31">
        <v>27</v>
      </c>
      <c r="C31" s="12">
        <f t="shared" si="3"/>
        <v>0.4</v>
      </c>
      <c r="D31" s="10">
        <f t="shared" si="4"/>
        <v>0.6</v>
      </c>
      <c r="E31" s="198">
        <f>IF(B31&lt;=$C$2,1,IF(B31=$C$2+1,PRODUCT($D$5:D31),E30*D31))</f>
        <v>4.2906064172477942E-3</v>
      </c>
      <c r="F31" s="10">
        <f t="shared" si="0"/>
        <v>0.3468165701312535</v>
      </c>
      <c r="G31" s="10">
        <f t="shared" si="5"/>
        <v>1.4880534014130259E-3</v>
      </c>
      <c r="I31" s="13">
        <f t="shared" si="1"/>
        <v>21.45303208623897</v>
      </c>
      <c r="J31" s="11">
        <f>(SUM(G32:$G$79)*$I$1)</f>
        <v>10.137860352727639</v>
      </c>
      <c r="K31" s="11">
        <f t="shared" si="6"/>
        <v>-7.4402670070651311</v>
      </c>
      <c r="Q31" s="65">
        <v>27</v>
      </c>
      <c r="R31" s="66">
        <f>Inputs!H34</f>
        <v>6.8800000000000003E-4</v>
      </c>
    </row>
    <row r="32" spans="1:18" x14ac:dyDescent="0.25">
      <c r="A32">
        <f t="shared" si="2"/>
        <v>107</v>
      </c>
      <c r="B32">
        <v>28</v>
      </c>
      <c r="C32" s="12">
        <f t="shared" si="3"/>
        <v>0.4</v>
      </c>
      <c r="D32" s="10">
        <f t="shared" si="4"/>
        <v>0.6</v>
      </c>
      <c r="E32" s="198">
        <f>IF(B32&lt;=$C$2,1,IF(B32=$C$2+1,PRODUCT($D$5:D32),E31*D32))</f>
        <v>2.5743638503486765E-3</v>
      </c>
      <c r="F32" s="10">
        <f t="shared" si="0"/>
        <v>0.3334774712800514</v>
      </c>
      <c r="G32" s="10">
        <f t="shared" si="5"/>
        <v>8.5849234696905329E-4</v>
      </c>
      <c r="I32" s="13">
        <f t="shared" si="1"/>
        <v>12.871819251743382</v>
      </c>
      <c r="J32" s="11">
        <f>(SUM(G33:$G$79)*$I$1)</f>
        <v>5.8453986178823722</v>
      </c>
      <c r="K32" s="11">
        <f t="shared" si="6"/>
        <v>-4.2924617348452667</v>
      </c>
      <c r="Q32" s="65">
        <v>28</v>
      </c>
      <c r="R32" s="66">
        <f>Inputs!H35</f>
        <v>7.1000000000000002E-4</v>
      </c>
    </row>
    <row r="33" spans="1:18" x14ac:dyDescent="0.25">
      <c r="A33">
        <f t="shared" si="2"/>
        <v>108</v>
      </c>
      <c r="B33">
        <v>29</v>
      </c>
      <c r="C33" s="12">
        <f t="shared" si="3"/>
        <v>0.4</v>
      </c>
      <c r="D33" s="10">
        <f t="shared" si="4"/>
        <v>0.6</v>
      </c>
      <c r="E33" s="198">
        <f>IF(B33&lt;=$C$2,1,IF(B33=$C$2+1,PRODUCT($D$5:D33),E32*D33))</f>
        <v>1.544618310209206E-3</v>
      </c>
      <c r="F33" s="10">
        <f t="shared" si="0"/>
        <v>0.32065141469235708</v>
      </c>
      <c r="G33" s="10">
        <f t="shared" si="5"/>
        <v>4.9528404632829994E-4</v>
      </c>
      <c r="I33" s="13">
        <f t="shared" si="1"/>
        <v>7.7230915510460294</v>
      </c>
      <c r="J33" s="11">
        <f>(SUM(G34:$G$79)*$I$1)</f>
        <v>3.3689783862408733</v>
      </c>
      <c r="K33" s="11">
        <f t="shared" si="6"/>
        <v>-2.4764202316414989</v>
      </c>
      <c r="Q33" s="65">
        <v>29</v>
      </c>
      <c r="R33" s="66">
        <f>Inputs!H36</f>
        <v>7.27E-4</v>
      </c>
    </row>
    <row r="34" spans="1:18" x14ac:dyDescent="0.25">
      <c r="A34">
        <f t="shared" si="2"/>
        <v>109</v>
      </c>
      <c r="B34">
        <v>30</v>
      </c>
      <c r="C34" s="12">
        <f t="shared" si="3"/>
        <v>0.4</v>
      </c>
      <c r="D34" s="10">
        <f t="shared" si="4"/>
        <v>0.6</v>
      </c>
      <c r="E34" s="198">
        <f>IF(B34&lt;=$C$2,1,IF(B34=$C$2+1,PRODUCT($D$5:D34),E33*D34))</f>
        <v>9.2677098612552352E-4</v>
      </c>
      <c r="F34" s="10">
        <f t="shared" si="0"/>
        <v>0.30831866797342034</v>
      </c>
      <c r="G34" s="10">
        <f t="shared" si="5"/>
        <v>2.8574079595863465E-4</v>
      </c>
      <c r="I34" s="13">
        <f t="shared" si="1"/>
        <v>4.633854930627618</v>
      </c>
      <c r="J34" s="11">
        <f>(SUM(G35:$G$79)*$I$1)</f>
        <v>1.9402744064477007</v>
      </c>
      <c r="K34" s="11">
        <f t="shared" si="6"/>
        <v>-1.4287039797931727</v>
      </c>
      <c r="Q34" s="65">
        <v>30</v>
      </c>
      <c r="R34" s="66">
        <f>Inputs!H37</f>
        <v>7.4100000000000001E-4</v>
      </c>
    </row>
    <row r="35" spans="1:18" x14ac:dyDescent="0.25">
      <c r="A35">
        <f t="shared" si="2"/>
        <v>110</v>
      </c>
      <c r="B35">
        <v>31</v>
      </c>
      <c r="C35" s="12">
        <f t="shared" si="3"/>
        <v>0.4</v>
      </c>
      <c r="D35" s="10">
        <f t="shared" si="4"/>
        <v>0.6</v>
      </c>
      <c r="E35" s="198">
        <f>IF(B35&lt;=$C$2,1,IF(B35=$C$2+1,PRODUCT($D$5:D35),E34*D35))</f>
        <v>5.5606259167531407E-4</v>
      </c>
      <c r="F35" s="10">
        <f t="shared" si="0"/>
        <v>0.29646025766675027</v>
      </c>
      <c r="G35" s="10">
        <f t="shared" si="5"/>
        <v>1.6485045920690454E-4</v>
      </c>
      <c r="I35" s="13">
        <f t="shared" si="1"/>
        <v>2.7803129583765704</v>
      </c>
      <c r="J35" s="11">
        <f>(SUM(G36:$G$79)*$I$1)</f>
        <v>1.1160221104131776</v>
      </c>
      <c r="K35" s="11">
        <f t="shared" si="6"/>
        <v>-0.8242522960345231</v>
      </c>
      <c r="Q35" s="65">
        <v>31</v>
      </c>
      <c r="R35" s="66">
        <f>Inputs!H38</f>
        <v>7.5100000000000004E-4</v>
      </c>
    </row>
    <row r="36" spans="1:18" x14ac:dyDescent="0.25">
      <c r="A36">
        <f t="shared" si="2"/>
        <v>111</v>
      </c>
      <c r="B36">
        <v>32</v>
      </c>
      <c r="C36" s="12">
        <f t="shared" si="3"/>
        <v>0.4</v>
      </c>
      <c r="D36" s="10">
        <f t="shared" si="4"/>
        <v>0.6</v>
      </c>
      <c r="E36" s="198">
        <f>IF(B36&lt;=$C$2,1,IF(B36=$C$2+1,PRODUCT($D$5:D36),E35*D36))</f>
        <v>3.3363755500518842E-4</v>
      </c>
      <c r="F36" s="10">
        <f t="shared" si="0"/>
        <v>0.28505794006418295</v>
      </c>
      <c r="G36" s="10">
        <f t="shared" si="5"/>
        <v>9.510603415782954E-5</v>
      </c>
      <c r="I36" s="13">
        <f t="shared" si="1"/>
        <v>1.6681877750259422</v>
      </c>
      <c r="J36" s="11">
        <f>(SUM(G37:$G$79)*$I$1)</f>
        <v>0.64049193962402962</v>
      </c>
      <c r="K36" s="11">
        <f t="shared" si="6"/>
        <v>-0.47553017078914794</v>
      </c>
      <c r="Q36" s="65">
        <v>32</v>
      </c>
      <c r="R36" s="66">
        <f>Inputs!H39</f>
        <v>7.54E-4</v>
      </c>
    </row>
    <row r="37" spans="1:18" x14ac:dyDescent="0.25">
      <c r="A37">
        <f t="shared" si="2"/>
        <v>112</v>
      </c>
      <c r="B37">
        <v>33</v>
      </c>
      <c r="C37" s="12">
        <f t="shared" si="3"/>
        <v>0.4</v>
      </c>
      <c r="D37" s="10">
        <f t="shared" si="4"/>
        <v>0.6</v>
      </c>
      <c r="E37" s="198">
        <f>IF(B37&lt;=$C$2,1,IF(B37=$C$2+1,PRODUCT($D$5:D37),E36*D37))</f>
        <v>2.0018253300311306E-4</v>
      </c>
      <c r="F37" s="10">
        <f t="shared" si="0"/>
        <v>0.27409417313863743</v>
      </c>
      <c r="G37" s="10">
        <f t="shared" si="5"/>
        <v>5.4868865860286272E-5</v>
      </c>
      <c r="I37" s="13">
        <f t="shared" si="1"/>
        <v>1.0009126650155653</v>
      </c>
      <c r="J37" s="11">
        <f>(SUM(G38:$G$79)*$I$1)</f>
        <v>0.3661476103225984</v>
      </c>
      <c r="K37" s="11">
        <f t="shared" si="6"/>
        <v>-0.27434432930143121</v>
      </c>
      <c r="Q37" s="65">
        <v>33</v>
      </c>
      <c r="R37" s="66">
        <f>Inputs!H40</f>
        <v>7.5600000000000005E-4</v>
      </c>
    </row>
    <row r="38" spans="1:18" x14ac:dyDescent="0.25">
      <c r="A38">
        <f t="shared" si="2"/>
        <v>113</v>
      </c>
      <c r="B38">
        <v>34</v>
      </c>
      <c r="C38" s="12">
        <f t="shared" si="3"/>
        <v>0.4</v>
      </c>
      <c r="D38" s="10">
        <f t="shared" si="4"/>
        <v>0.6</v>
      </c>
      <c r="E38" s="198">
        <f>IF(B38&lt;=$C$2,1,IF(B38=$C$2+1,PRODUCT($D$5:D38),E37*D38))</f>
        <v>1.2010951980186783E-4</v>
      </c>
      <c r="F38" s="10">
        <f t="shared" si="0"/>
        <v>0.26355208955638215</v>
      </c>
      <c r="G38" s="10">
        <f t="shared" si="5"/>
        <v>3.1655114919395927E-5</v>
      </c>
      <c r="I38" s="13">
        <f t="shared" si="1"/>
        <v>0.60054759900933918</v>
      </c>
      <c r="J38" s="11">
        <f>(SUM(G39:$G$79)*$I$1)</f>
        <v>0.2078720357256188</v>
      </c>
      <c r="K38" s="11">
        <f t="shared" si="6"/>
        <v>-0.15827557459697961</v>
      </c>
      <c r="Q38" s="65">
        <v>34</v>
      </c>
      <c r="R38" s="66">
        <f>Inputs!H41</f>
        <v>7.5600000000000005E-4</v>
      </c>
    </row>
    <row r="39" spans="1:18" x14ac:dyDescent="0.25">
      <c r="A39">
        <f t="shared" si="2"/>
        <v>114</v>
      </c>
      <c r="B39">
        <v>35</v>
      </c>
      <c r="C39" s="12">
        <f t="shared" si="3"/>
        <v>0.4</v>
      </c>
      <c r="D39" s="10">
        <f t="shared" si="4"/>
        <v>0.6</v>
      </c>
      <c r="E39" s="198">
        <f>IF(B39&lt;=$C$2,1,IF(B39=$C$2+1,PRODUCT($D$5:D39),E38*D39))</f>
        <v>7.2065711881120698E-5</v>
      </c>
      <c r="F39" s="10">
        <f t="shared" si="0"/>
        <v>0.25341547072729048</v>
      </c>
      <c r="G39" s="10">
        <f t="shared" si="5"/>
        <v>1.8262566299651492E-5</v>
      </c>
      <c r="I39" s="13">
        <f t="shared" si="1"/>
        <v>0.36032855940560349</v>
      </c>
      <c r="J39" s="11">
        <f>(SUM(G40:$G$79)*$I$1)</f>
        <v>0.11655920422736132</v>
      </c>
      <c r="K39" s="11">
        <f t="shared" si="6"/>
        <v>-9.1312831498257474E-2</v>
      </c>
      <c r="Q39" s="65">
        <v>35</v>
      </c>
      <c r="R39" s="66">
        <f>Inputs!H42</f>
        <v>7.5600000000000005E-4</v>
      </c>
    </row>
    <row r="40" spans="1:18" x14ac:dyDescent="0.25">
      <c r="A40">
        <f t="shared" si="2"/>
        <v>115</v>
      </c>
      <c r="B40">
        <v>36</v>
      </c>
      <c r="C40" s="12">
        <f t="shared" si="3"/>
        <v>0.4</v>
      </c>
      <c r="D40" s="10">
        <f t="shared" si="4"/>
        <v>0.6</v>
      </c>
      <c r="E40" s="198">
        <f>IF(B40&lt;=$C$2,1,IF(B40=$C$2+1,PRODUCT($D$5:D40),E39*D40))</f>
        <v>4.3239427128672414E-5</v>
      </c>
      <c r="F40" s="10">
        <f t="shared" si="0"/>
        <v>0.24366872185316396</v>
      </c>
      <c r="G40" s="10">
        <f t="shared" si="5"/>
        <v>1.0536095942106631E-5</v>
      </c>
      <c r="I40" s="13">
        <f t="shared" si="1"/>
        <v>0.21619713564336207</v>
      </c>
      <c r="J40" s="11">
        <f>(SUM(G41:$G$79)*$I$1)</f>
        <v>6.3878724516828189E-2</v>
      </c>
      <c r="K40" s="11">
        <f t="shared" si="6"/>
        <v>-5.2680479710533135E-2</v>
      </c>
      <c r="Q40" s="65">
        <v>36</v>
      </c>
      <c r="R40" s="66">
        <f>Inputs!H43</f>
        <v>7.5600000000000005E-4</v>
      </c>
    </row>
    <row r="41" spans="1:18" x14ac:dyDescent="0.25">
      <c r="A41">
        <f t="shared" si="2"/>
        <v>116</v>
      </c>
      <c r="B41">
        <v>37</v>
      </c>
      <c r="C41" s="12">
        <f t="shared" si="3"/>
        <v>0.4</v>
      </c>
      <c r="D41" s="10">
        <f t="shared" si="4"/>
        <v>0.6</v>
      </c>
      <c r="E41" s="198">
        <f>IF(B41&lt;=$C$2,1,IF(B41=$C$2+1,PRODUCT($D$5:D41),E40*D41))</f>
        <v>2.5943656277203448E-5</v>
      </c>
      <c r="F41" s="10">
        <f t="shared" si="0"/>
        <v>0.23429684793573452</v>
      </c>
      <c r="G41" s="10">
        <f t="shared" si="5"/>
        <v>6.0785168896769005E-6</v>
      </c>
      <c r="I41" s="13">
        <f t="shared" si="1"/>
        <v>0.12971828138601724</v>
      </c>
      <c r="J41" s="11">
        <f>(SUM(G42:$G$79)*$I$1)</f>
        <v>3.3486140068443672E-2</v>
      </c>
      <c r="K41" s="11">
        <f t="shared" si="6"/>
        <v>-3.0392584448384517E-2</v>
      </c>
      <c r="Q41" s="65">
        <v>37</v>
      </c>
      <c r="R41" s="66">
        <f>Inputs!H44</f>
        <v>7.5600000000000005E-4</v>
      </c>
    </row>
    <row r="42" spans="1:18" x14ac:dyDescent="0.25">
      <c r="A42">
        <f t="shared" si="2"/>
        <v>117</v>
      </c>
      <c r="B42">
        <v>38</v>
      </c>
      <c r="C42" s="12">
        <f t="shared" si="3"/>
        <v>0.4</v>
      </c>
      <c r="D42" s="10">
        <f t="shared" si="4"/>
        <v>0.6</v>
      </c>
      <c r="E42" s="198">
        <f>IF(B42&lt;=$C$2,1,IF(B42=$C$2+1,PRODUCT($D$5:D42),E41*D42))</f>
        <v>1.5566193766322069E-5</v>
      </c>
      <c r="F42" s="10">
        <f t="shared" si="0"/>
        <v>0.22528543070743706</v>
      </c>
      <c r="G42" s="10">
        <f t="shared" si="5"/>
        <v>3.5068366671212894E-6</v>
      </c>
      <c r="I42" s="13">
        <f t="shared" si="1"/>
        <v>7.783096883161035E-2</v>
      </c>
      <c r="J42" s="11">
        <f>(SUM(G43:$G$79)*$I$1)</f>
        <v>1.5951956732837225E-2</v>
      </c>
      <c r="K42" s="11">
        <f t="shared" si="6"/>
        <v>-1.7534183335606447E-2</v>
      </c>
      <c r="Q42" s="65">
        <v>38</v>
      </c>
      <c r="R42" s="66">
        <f>Inputs!H45</f>
        <v>7.5600000000000005E-4</v>
      </c>
    </row>
    <row r="43" spans="1:18" x14ac:dyDescent="0.25">
      <c r="A43">
        <f t="shared" si="2"/>
        <v>118</v>
      </c>
      <c r="B43">
        <v>39</v>
      </c>
      <c r="C43" s="12">
        <f t="shared" si="3"/>
        <v>0.4</v>
      </c>
      <c r="D43" s="10">
        <f t="shared" si="4"/>
        <v>0.6</v>
      </c>
      <c r="E43" s="198">
        <f>IF(B43&lt;=$C$2,1,IF(B43=$C$2+1,PRODUCT($D$5:D43),E42*D43))</f>
        <v>9.3397162597932416E-6</v>
      </c>
      <c r="F43" s="10">
        <f t="shared" si="0"/>
        <v>0.21662060644945874</v>
      </c>
      <c r="G43" s="10">
        <f t="shared" si="5"/>
        <v>2.0231750002622824E-6</v>
      </c>
      <c r="I43" s="13">
        <f t="shared" si="1"/>
        <v>4.6698581298966209E-2</v>
      </c>
      <c r="J43" s="11">
        <f>(SUM(G44:$G$79)*$I$1)</f>
        <v>5.8360817315258121E-3</v>
      </c>
      <c r="K43" s="11">
        <f t="shared" si="6"/>
        <v>-1.0115875001311413E-2</v>
      </c>
      <c r="Q43" s="65">
        <v>39</v>
      </c>
      <c r="R43" s="66">
        <f>Inputs!H46</f>
        <v>8.0000000000000004E-4</v>
      </c>
    </row>
    <row r="44" spans="1:18" x14ac:dyDescent="0.25">
      <c r="A44">
        <f t="shared" si="2"/>
        <v>119</v>
      </c>
      <c r="B44">
        <v>40</v>
      </c>
      <c r="C44" s="12">
        <f t="shared" si="3"/>
        <v>0.4</v>
      </c>
      <c r="D44" s="10">
        <f t="shared" si="4"/>
        <v>0.6</v>
      </c>
      <c r="E44" s="198">
        <f>IF(B44&lt;=$C$2,1,IF(B44=$C$2+1,PRODUCT($D$5:D44),E43*D44))</f>
        <v>5.6038297558759448E-6</v>
      </c>
      <c r="F44" s="10">
        <f t="shared" si="0"/>
        <v>0.20828904466294101</v>
      </c>
      <c r="G44" s="10">
        <f t="shared" si="5"/>
        <v>1.1672163463051625E-6</v>
      </c>
      <c r="I44" s="13">
        <f t="shared" si="1"/>
        <v>2.8019148779379725E-2</v>
      </c>
      <c r="J44" s="11">
        <f>(SUM(G45:$G$79)*$I$1)</f>
        <v>0</v>
      </c>
      <c r="K44" s="11">
        <f t="shared" si="6"/>
        <v>-5.8360817315258121E-3</v>
      </c>
      <c r="Q44" s="65">
        <v>40</v>
      </c>
      <c r="R44" s="66">
        <f>Inputs!H47</f>
        <v>8.5899999999999995E-4</v>
      </c>
    </row>
    <row r="45" spans="1:18" x14ac:dyDescent="0.25">
      <c r="A45">
        <f t="shared" si="2"/>
        <v>120</v>
      </c>
      <c r="B45">
        <v>41</v>
      </c>
      <c r="C45" s="12">
        <f t="shared" si="3"/>
        <v>1</v>
      </c>
      <c r="D45" s="10">
        <f t="shared" si="4"/>
        <v>0</v>
      </c>
      <c r="E45" s="198">
        <f>IF(B45&lt;=$C$2,1,IF(B45=$C$2+1,PRODUCT($D$5:D45),E44*D45))</f>
        <v>0</v>
      </c>
      <c r="F45" s="10">
        <f t="shared" si="0"/>
        <v>0</v>
      </c>
      <c r="G45" s="10">
        <f t="shared" si="5"/>
        <v>0</v>
      </c>
      <c r="I45" s="13">
        <f t="shared" si="1"/>
        <v>0</v>
      </c>
      <c r="J45" s="11">
        <f>(SUM(G46:$G$79)*$I$1)</f>
        <v>0</v>
      </c>
      <c r="K45" s="11">
        <f t="shared" si="6"/>
        <v>0</v>
      </c>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c r="E125" s="35"/>
      <c r="F125" s="3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45">
    <cfRule type="cellIs" dxfId="19"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topLeftCell="A121" workbookViewId="0">
      <selection activeCell="A130" sqref="A130:C138"/>
    </sheetView>
  </sheetViews>
  <sheetFormatPr defaultRowHeight="15" x14ac:dyDescent="0.25"/>
  <cols>
    <col min="1" max="1" width="11" customWidth="1"/>
    <col min="3" max="3" width="12.375" bestFit="1" customWidth="1"/>
    <col min="4" max="4" width="14.25" customWidth="1"/>
    <col min="5" max="5" width="11.25" customWidth="1"/>
    <col min="6" max="6" width="4.875" customWidth="1"/>
    <col min="7" max="7" width="6.25" customWidth="1"/>
  </cols>
  <sheetData>
    <row r="1" spans="1:17" ht="26.25" x14ac:dyDescent="0.4">
      <c r="A1" s="110" t="s">
        <v>159</v>
      </c>
    </row>
    <row r="2" spans="1:17" ht="15" customHeight="1" x14ac:dyDescent="0.25">
      <c r="A2" s="181" t="s">
        <v>173</v>
      </c>
    </row>
    <row r="3" spans="1:17" ht="15" customHeight="1" x14ac:dyDescent="0.25">
      <c r="A3" s="166" t="s">
        <v>174</v>
      </c>
      <c r="C3" s="145" t="s">
        <v>160</v>
      </c>
      <c r="K3" s="1" t="s">
        <v>163</v>
      </c>
      <c r="Q3" s="1" t="s">
        <v>165</v>
      </c>
    </row>
    <row r="4" spans="1:17" ht="15" customHeight="1" thickBot="1" x14ac:dyDescent="0.45">
      <c r="A4" s="110"/>
      <c r="C4" s="145" t="s">
        <v>166</v>
      </c>
      <c r="D4" s="145" t="s">
        <v>160</v>
      </c>
      <c r="E4" s="145" t="s">
        <v>160</v>
      </c>
      <c r="K4" t="s">
        <v>164</v>
      </c>
      <c r="Q4" t="s">
        <v>164</v>
      </c>
    </row>
    <row r="5" spans="1:17" ht="15.75" thickBot="1" x14ac:dyDescent="0.3">
      <c r="B5" s="167" t="s">
        <v>2</v>
      </c>
      <c r="C5" s="167" t="s">
        <v>167</v>
      </c>
      <c r="D5" s="167" t="s">
        <v>168</v>
      </c>
      <c r="E5" s="167" t="s">
        <v>169</v>
      </c>
      <c r="F5" s="145"/>
      <c r="G5" s="103"/>
      <c r="H5" s="169" t="s">
        <v>160</v>
      </c>
      <c r="K5" t="s">
        <v>161</v>
      </c>
      <c r="L5" s="166" t="s">
        <v>162</v>
      </c>
      <c r="P5" t="s">
        <v>161</v>
      </c>
      <c r="Q5" s="166" t="s">
        <v>162</v>
      </c>
    </row>
    <row r="6" spans="1:17" ht="15.75" thickBot="1" x14ac:dyDescent="0.3">
      <c r="B6" s="188">
        <v>0.04</v>
      </c>
      <c r="C6" s="189">
        <v>1</v>
      </c>
      <c r="D6" s="189">
        <v>1</v>
      </c>
      <c r="E6" s="190">
        <v>0</v>
      </c>
      <c r="F6" s="168"/>
      <c r="G6" s="171" t="s">
        <v>19</v>
      </c>
      <c r="H6" s="170" t="s">
        <v>170</v>
      </c>
    </row>
    <row r="7" spans="1:17" x14ac:dyDescent="0.25">
      <c r="F7" s="14"/>
      <c r="G7" s="175">
        <v>0</v>
      </c>
      <c r="H7" s="173">
        <f t="shared" ref="H7:H38" si="0">IF($C$6=1,L7,IF($C$6=2,Q7,"Error"))*$D$6+$E$6</f>
        <v>1.6050000000000001E-3</v>
      </c>
      <c r="K7">
        <v>0</v>
      </c>
      <c r="L7">
        <v>1.6050000000000001E-3</v>
      </c>
      <c r="P7">
        <v>0</v>
      </c>
      <c r="Q7" s="165">
        <v>1.621E-3</v>
      </c>
    </row>
    <row r="8" spans="1:17" x14ac:dyDescent="0.25">
      <c r="A8" t="s">
        <v>172</v>
      </c>
      <c r="B8" s="14"/>
      <c r="C8" s="14"/>
      <c r="G8" s="175">
        <v>1</v>
      </c>
      <c r="H8" s="173">
        <f t="shared" si="0"/>
        <v>4.0099999999999999E-4</v>
      </c>
      <c r="K8">
        <v>1</v>
      </c>
      <c r="L8">
        <v>4.0099999999999999E-4</v>
      </c>
      <c r="P8">
        <v>1</v>
      </c>
      <c r="Q8" s="165">
        <v>4.0499999999999998E-4</v>
      </c>
    </row>
    <row r="9" spans="1:17" ht="15.75" thickBot="1" x14ac:dyDescent="0.3">
      <c r="B9" s="14"/>
      <c r="C9" s="14"/>
      <c r="G9" s="175">
        <v>2</v>
      </c>
      <c r="H9" s="173">
        <f t="shared" si="0"/>
        <v>2.7500000000000002E-4</v>
      </c>
      <c r="K9">
        <v>2</v>
      </c>
      <c r="L9">
        <v>2.7500000000000002E-4</v>
      </c>
      <c r="P9">
        <v>2</v>
      </c>
      <c r="Q9" s="165">
        <v>2.5900000000000001E-4</v>
      </c>
    </row>
    <row r="10" spans="1:17" ht="15.75" thickBot="1" x14ac:dyDescent="0.3">
      <c r="B10" s="177">
        <v>0.04</v>
      </c>
      <c r="C10" s="179">
        <v>1</v>
      </c>
      <c r="D10" s="179">
        <v>1</v>
      </c>
      <c r="E10" s="178">
        <v>0</v>
      </c>
      <c r="G10" s="175">
        <v>3</v>
      </c>
      <c r="H10" s="173">
        <f t="shared" si="0"/>
        <v>2.2900000000000001E-4</v>
      </c>
      <c r="K10">
        <v>3</v>
      </c>
      <c r="L10">
        <v>2.2900000000000001E-4</v>
      </c>
      <c r="P10">
        <v>3</v>
      </c>
      <c r="Q10" s="165">
        <v>1.7899999999999999E-4</v>
      </c>
    </row>
    <row r="11" spans="1:17" x14ac:dyDescent="0.25">
      <c r="G11" s="175">
        <v>4</v>
      </c>
      <c r="H11" s="173">
        <f t="shared" si="0"/>
        <v>1.74E-4</v>
      </c>
      <c r="K11">
        <v>4</v>
      </c>
      <c r="L11">
        <v>1.74E-4</v>
      </c>
      <c r="P11">
        <v>4</v>
      </c>
      <c r="Q11" s="165">
        <v>1.37E-4</v>
      </c>
    </row>
    <row r="12" spans="1:17" x14ac:dyDescent="0.25">
      <c r="G12" s="175">
        <v>5</v>
      </c>
      <c r="H12" s="173">
        <f t="shared" si="0"/>
        <v>1.6799999999999999E-4</v>
      </c>
      <c r="K12">
        <v>5</v>
      </c>
      <c r="L12">
        <v>1.6799999999999999E-4</v>
      </c>
      <c r="P12">
        <v>5</v>
      </c>
      <c r="Q12" s="165">
        <v>1.25E-4</v>
      </c>
    </row>
    <row r="13" spans="1:17" x14ac:dyDescent="0.25">
      <c r="G13" s="175">
        <v>6</v>
      </c>
      <c r="H13" s="173">
        <f t="shared" si="0"/>
        <v>1.65E-4</v>
      </c>
      <c r="K13">
        <v>6</v>
      </c>
      <c r="L13">
        <v>1.65E-4</v>
      </c>
      <c r="P13">
        <v>6</v>
      </c>
      <c r="Q13" s="165">
        <v>1.17E-4</v>
      </c>
    </row>
    <row r="14" spans="1:17" x14ac:dyDescent="0.25">
      <c r="G14" s="175">
        <v>7</v>
      </c>
      <c r="H14" s="173">
        <f t="shared" si="0"/>
        <v>1.5899999999999999E-4</v>
      </c>
      <c r="K14">
        <v>7</v>
      </c>
      <c r="L14">
        <v>1.5899999999999999E-4</v>
      </c>
      <c r="P14">
        <v>7</v>
      </c>
      <c r="Q14" s="165">
        <v>1.1E-4</v>
      </c>
    </row>
    <row r="15" spans="1:17" x14ac:dyDescent="0.25">
      <c r="G15" s="175">
        <v>8</v>
      </c>
      <c r="H15" s="173">
        <f t="shared" si="0"/>
        <v>1.4300000000000001E-4</v>
      </c>
      <c r="K15">
        <v>8</v>
      </c>
      <c r="L15">
        <v>1.4300000000000001E-4</v>
      </c>
      <c r="P15">
        <v>8</v>
      </c>
      <c r="Q15" s="165">
        <v>9.5000000000000005E-5</v>
      </c>
    </row>
    <row r="16" spans="1:17" x14ac:dyDescent="0.25">
      <c r="G16" s="175">
        <v>9</v>
      </c>
      <c r="H16" s="173">
        <f t="shared" si="0"/>
        <v>1.2899999999999999E-4</v>
      </c>
      <c r="K16">
        <v>9</v>
      </c>
      <c r="L16">
        <v>1.2899999999999999E-4</v>
      </c>
      <c r="P16">
        <v>9</v>
      </c>
      <c r="Q16" s="165">
        <v>8.7999999999999998E-5</v>
      </c>
    </row>
    <row r="17" spans="7:17" x14ac:dyDescent="0.25">
      <c r="G17" s="175">
        <v>10</v>
      </c>
      <c r="H17" s="173">
        <f t="shared" si="0"/>
        <v>1.13E-4</v>
      </c>
      <c r="K17">
        <v>10</v>
      </c>
      <c r="L17">
        <v>1.13E-4</v>
      </c>
      <c r="P17">
        <v>10</v>
      </c>
      <c r="Q17" s="165">
        <v>8.5000000000000006E-5</v>
      </c>
    </row>
    <row r="18" spans="7:17" x14ac:dyDescent="0.25">
      <c r="G18" s="175">
        <v>11</v>
      </c>
      <c r="H18" s="173">
        <f t="shared" si="0"/>
        <v>1.11E-4</v>
      </c>
      <c r="K18">
        <v>11</v>
      </c>
      <c r="L18">
        <v>1.11E-4</v>
      </c>
      <c r="P18">
        <v>11</v>
      </c>
      <c r="Q18" s="165">
        <v>8.6000000000000003E-5</v>
      </c>
    </row>
    <row r="19" spans="7:17" x14ac:dyDescent="0.25">
      <c r="G19" s="175">
        <v>12</v>
      </c>
      <c r="H19" s="173">
        <f t="shared" si="0"/>
        <v>1.3200000000000001E-4</v>
      </c>
      <c r="K19">
        <v>12</v>
      </c>
      <c r="L19">
        <v>1.3200000000000001E-4</v>
      </c>
      <c r="P19">
        <v>12</v>
      </c>
      <c r="Q19" s="165">
        <v>9.3999999999999994E-5</v>
      </c>
    </row>
    <row r="20" spans="7:17" x14ac:dyDescent="0.25">
      <c r="G20" s="175">
        <v>13</v>
      </c>
      <c r="H20" s="173">
        <f t="shared" si="0"/>
        <v>1.6899999999999999E-4</v>
      </c>
      <c r="K20">
        <v>13</v>
      </c>
      <c r="L20">
        <v>1.6899999999999999E-4</v>
      </c>
      <c r="P20">
        <v>13</v>
      </c>
      <c r="Q20" s="165">
        <v>1.08E-4</v>
      </c>
    </row>
    <row r="21" spans="7:17" x14ac:dyDescent="0.25">
      <c r="G21" s="175">
        <v>14</v>
      </c>
      <c r="H21" s="173">
        <f t="shared" si="0"/>
        <v>2.13E-4</v>
      </c>
      <c r="K21">
        <v>14</v>
      </c>
      <c r="L21">
        <v>2.13E-4</v>
      </c>
      <c r="P21">
        <v>14</v>
      </c>
      <c r="Q21" s="165">
        <v>1.3100000000000001E-4</v>
      </c>
    </row>
    <row r="22" spans="7:17" x14ac:dyDescent="0.25">
      <c r="G22" s="175">
        <v>15</v>
      </c>
      <c r="H22" s="173">
        <f t="shared" si="0"/>
        <v>2.5399999999999999E-4</v>
      </c>
      <c r="K22">
        <v>15</v>
      </c>
      <c r="L22">
        <v>2.5399999999999999E-4</v>
      </c>
      <c r="P22">
        <v>15</v>
      </c>
      <c r="Q22" s="165">
        <v>1.56E-4</v>
      </c>
    </row>
    <row r="23" spans="7:17" x14ac:dyDescent="0.25">
      <c r="G23" s="175">
        <v>16</v>
      </c>
      <c r="H23" s="173">
        <f t="shared" si="0"/>
        <v>2.9300000000000002E-4</v>
      </c>
      <c r="K23">
        <v>16</v>
      </c>
      <c r="L23">
        <v>2.9300000000000002E-4</v>
      </c>
      <c r="P23">
        <v>16</v>
      </c>
      <c r="Q23" s="165">
        <v>1.7899999999999999E-4</v>
      </c>
    </row>
    <row r="24" spans="7:17" x14ac:dyDescent="0.25">
      <c r="G24" s="175">
        <v>17</v>
      </c>
      <c r="H24" s="173">
        <f t="shared" si="0"/>
        <v>3.28E-4</v>
      </c>
      <c r="K24">
        <v>17</v>
      </c>
      <c r="L24">
        <v>3.28E-4</v>
      </c>
      <c r="P24">
        <v>17</v>
      </c>
      <c r="Q24" s="165">
        <v>1.9799999999999999E-4</v>
      </c>
    </row>
    <row r="25" spans="7:17" x14ac:dyDescent="0.25">
      <c r="G25" s="175">
        <v>18</v>
      </c>
      <c r="H25" s="173">
        <f t="shared" si="0"/>
        <v>3.59E-4</v>
      </c>
      <c r="K25">
        <v>18</v>
      </c>
      <c r="L25">
        <v>3.59E-4</v>
      </c>
      <c r="P25">
        <v>18</v>
      </c>
      <c r="Q25" s="165">
        <v>2.1100000000000001E-4</v>
      </c>
    </row>
    <row r="26" spans="7:17" x14ac:dyDescent="0.25">
      <c r="G26" s="175">
        <v>19</v>
      </c>
      <c r="H26" s="173">
        <f t="shared" si="0"/>
        <v>3.8699999999999997E-4</v>
      </c>
      <c r="K26">
        <v>19</v>
      </c>
      <c r="L26">
        <v>3.8699999999999997E-4</v>
      </c>
      <c r="P26">
        <v>19</v>
      </c>
      <c r="Q26" s="165">
        <v>2.2100000000000001E-4</v>
      </c>
    </row>
    <row r="27" spans="7:17" x14ac:dyDescent="0.25">
      <c r="G27" s="175">
        <v>20</v>
      </c>
      <c r="H27" s="173">
        <f t="shared" si="0"/>
        <v>4.1399999999999998E-4</v>
      </c>
      <c r="K27">
        <v>20</v>
      </c>
      <c r="L27">
        <v>4.1399999999999998E-4</v>
      </c>
      <c r="P27">
        <v>20</v>
      </c>
      <c r="Q27" s="165">
        <v>2.2800000000000001E-4</v>
      </c>
    </row>
    <row r="28" spans="7:17" x14ac:dyDescent="0.25">
      <c r="G28" s="175">
        <v>21</v>
      </c>
      <c r="H28" s="173">
        <f t="shared" si="0"/>
        <v>4.4299999999999998E-4</v>
      </c>
      <c r="K28">
        <v>21</v>
      </c>
      <c r="L28">
        <v>4.4299999999999998E-4</v>
      </c>
      <c r="P28">
        <v>21</v>
      </c>
      <c r="Q28" s="165">
        <v>2.34E-4</v>
      </c>
    </row>
    <row r="29" spans="7:17" x14ac:dyDescent="0.25">
      <c r="G29" s="175">
        <v>22</v>
      </c>
      <c r="H29" s="173">
        <f t="shared" si="0"/>
        <v>4.73E-4</v>
      </c>
      <c r="K29">
        <v>22</v>
      </c>
      <c r="L29">
        <v>4.73E-4</v>
      </c>
      <c r="P29">
        <v>22</v>
      </c>
      <c r="Q29" s="165">
        <v>2.4000000000000001E-4</v>
      </c>
    </row>
    <row r="30" spans="7:17" x14ac:dyDescent="0.25">
      <c r="G30" s="175">
        <v>23</v>
      </c>
      <c r="H30" s="173">
        <f t="shared" si="0"/>
        <v>5.13E-4</v>
      </c>
      <c r="K30">
        <v>23</v>
      </c>
      <c r="L30">
        <v>5.13E-4</v>
      </c>
      <c r="P30">
        <v>23</v>
      </c>
      <c r="Q30" s="165">
        <v>2.4499999999999999E-4</v>
      </c>
    </row>
    <row r="31" spans="7:17" x14ac:dyDescent="0.25">
      <c r="G31" s="175">
        <v>24</v>
      </c>
      <c r="H31" s="173">
        <f t="shared" si="0"/>
        <v>5.5400000000000002E-4</v>
      </c>
      <c r="K31">
        <v>24</v>
      </c>
      <c r="L31">
        <v>5.5400000000000002E-4</v>
      </c>
      <c r="P31">
        <v>24</v>
      </c>
      <c r="Q31" s="165">
        <v>2.4699999999999999E-4</v>
      </c>
    </row>
    <row r="32" spans="7:17" x14ac:dyDescent="0.25">
      <c r="G32" s="175">
        <v>25</v>
      </c>
      <c r="H32" s="173">
        <f t="shared" si="0"/>
        <v>6.02E-4</v>
      </c>
      <c r="K32">
        <v>25</v>
      </c>
      <c r="L32">
        <v>6.02E-4</v>
      </c>
      <c r="P32">
        <v>25</v>
      </c>
      <c r="Q32" s="165">
        <v>2.5000000000000001E-4</v>
      </c>
    </row>
    <row r="33" spans="7:17" x14ac:dyDescent="0.25">
      <c r="G33" s="175">
        <v>26</v>
      </c>
      <c r="H33" s="173">
        <f t="shared" si="0"/>
        <v>6.5499999999999998E-4</v>
      </c>
      <c r="K33">
        <v>26</v>
      </c>
      <c r="L33">
        <v>6.5499999999999998E-4</v>
      </c>
      <c r="P33">
        <v>26</v>
      </c>
      <c r="Q33" s="165">
        <v>2.5599999999999999E-4</v>
      </c>
    </row>
    <row r="34" spans="7:17" x14ac:dyDescent="0.25">
      <c r="G34" s="175">
        <v>27</v>
      </c>
      <c r="H34" s="173">
        <f t="shared" si="0"/>
        <v>6.8800000000000003E-4</v>
      </c>
      <c r="K34">
        <v>27</v>
      </c>
      <c r="L34">
        <v>6.8800000000000003E-4</v>
      </c>
      <c r="P34">
        <v>27</v>
      </c>
      <c r="Q34" s="165">
        <v>2.61E-4</v>
      </c>
    </row>
    <row r="35" spans="7:17" x14ac:dyDescent="0.25">
      <c r="G35" s="175">
        <v>28</v>
      </c>
      <c r="H35" s="173">
        <f t="shared" si="0"/>
        <v>7.1000000000000002E-4</v>
      </c>
      <c r="K35">
        <v>28</v>
      </c>
      <c r="L35">
        <v>7.1000000000000002E-4</v>
      </c>
      <c r="P35">
        <v>28</v>
      </c>
      <c r="Q35" s="165">
        <v>2.7E-4</v>
      </c>
    </row>
    <row r="36" spans="7:17" x14ac:dyDescent="0.25">
      <c r="G36" s="175">
        <v>29</v>
      </c>
      <c r="H36" s="173">
        <f t="shared" si="0"/>
        <v>7.27E-4</v>
      </c>
      <c r="K36">
        <v>29</v>
      </c>
      <c r="L36">
        <v>7.27E-4</v>
      </c>
      <c r="P36">
        <v>29</v>
      </c>
      <c r="Q36" s="165">
        <v>2.81E-4</v>
      </c>
    </row>
    <row r="37" spans="7:17" x14ac:dyDescent="0.25">
      <c r="G37" s="175">
        <v>30</v>
      </c>
      <c r="H37" s="173">
        <f t="shared" si="0"/>
        <v>7.4100000000000001E-4</v>
      </c>
      <c r="K37">
        <v>30</v>
      </c>
      <c r="L37">
        <v>7.4100000000000001E-4</v>
      </c>
      <c r="P37">
        <v>30</v>
      </c>
      <c r="Q37" s="165">
        <v>2.9999999999999997E-4</v>
      </c>
    </row>
    <row r="38" spans="7:17" x14ac:dyDescent="0.25">
      <c r="G38" s="175">
        <v>31</v>
      </c>
      <c r="H38" s="173">
        <f t="shared" si="0"/>
        <v>7.5100000000000004E-4</v>
      </c>
      <c r="K38">
        <v>31</v>
      </c>
      <c r="L38">
        <v>7.5100000000000004E-4</v>
      </c>
      <c r="P38">
        <v>31</v>
      </c>
      <c r="Q38" s="165">
        <v>3.21E-4</v>
      </c>
    </row>
    <row r="39" spans="7:17" x14ac:dyDescent="0.25">
      <c r="G39" s="175">
        <v>32</v>
      </c>
      <c r="H39" s="173">
        <f t="shared" ref="H39:H70" si="1">IF($C$6=1,L39,IF($C$6=2,Q39,"Error"))*$D$6+$E$6</f>
        <v>7.54E-4</v>
      </c>
      <c r="K39">
        <v>32</v>
      </c>
      <c r="L39">
        <v>7.54E-4</v>
      </c>
      <c r="P39">
        <v>32</v>
      </c>
      <c r="Q39" s="165">
        <v>3.3799999999999998E-4</v>
      </c>
    </row>
    <row r="40" spans="7:17" x14ac:dyDescent="0.25">
      <c r="G40" s="175">
        <v>33</v>
      </c>
      <c r="H40" s="173">
        <f t="shared" si="1"/>
        <v>7.5600000000000005E-4</v>
      </c>
      <c r="K40">
        <v>33</v>
      </c>
      <c r="L40">
        <v>7.5600000000000005E-4</v>
      </c>
      <c r="P40">
        <v>33</v>
      </c>
      <c r="Q40" s="165">
        <v>3.5100000000000002E-4</v>
      </c>
    </row>
    <row r="41" spans="7:17" x14ac:dyDescent="0.25">
      <c r="G41" s="175">
        <v>34</v>
      </c>
      <c r="H41" s="173">
        <f t="shared" si="1"/>
        <v>7.5600000000000005E-4</v>
      </c>
      <c r="K41">
        <v>34</v>
      </c>
      <c r="L41">
        <v>7.5600000000000005E-4</v>
      </c>
      <c r="P41">
        <v>34</v>
      </c>
      <c r="Q41" s="165">
        <v>3.6499999999999998E-4</v>
      </c>
    </row>
    <row r="42" spans="7:17" x14ac:dyDescent="0.25">
      <c r="G42" s="175">
        <v>35</v>
      </c>
      <c r="H42" s="173">
        <f t="shared" si="1"/>
        <v>7.5600000000000005E-4</v>
      </c>
      <c r="K42">
        <v>35</v>
      </c>
      <c r="L42">
        <v>7.5600000000000005E-4</v>
      </c>
      <c r="P42">
        <v>35</v>
      </c>
      <c r="Q42" s="165">
        <v>3.8099999999999999E-4</v>
      </c>
    </row>
    <row r="43" spans="7:17" x14ac:dyDescent="0.25">
      <c r="G43" s="175">
        <v>36</v>
      </c>
      <c r="H43" s="173">
        <f t="shared" si="1"/>
        <v>7.5600000000000005E-4</v>
      </c>
      <c r="K43">
        <v>36</v>
      </c>
      <c r="L43">
        <v>7.5600000000000005E-4</v>
      </c>
      <c r="P43">
        <v>36</v>
      </c>
      <c r="Q43" s="165">
        <v>4.0200000000000001E-4</v>
      </c>
    </row>
    <row r="44" spans="7:17" x14ac:dyDescent="0.25">
      <c r="G44" s="175">
        <v>37</v>
      </c>
      <c r="H44" s="173">
        <f t="shared" si="1"/>
        <v>7.5600000000000005E-4</v>
      </c>
      <c r="K44">
        <v>37</v>
      </c>
      <c r="L44">
        <v>7.5600000000000005E-4</v>
      </c>
      <c r="P44">
        <v>37</v>
      </c>
      <c r="Q44" s="165">
        <v>4.2900000000000002E-4</v>
      </c>
    </row>
    <row r="45" spans="7:17" x14ac:dyDescent="0.25">
      <c r="G45" s="175">
        <v>38</v>
      </c>
      <c r="H45" s="173">
        <f t="shared" si="1"/>
        <v>7.5600000000000005E-4</v>
      </c>
      <c r="K45">
        <v>38</v>
      </c>
      <c r="L45">
        <v>7.5600000000000005E-4</v>
      </c>
      <c r="P45">
        <v>38</v>
      </c>
      <c r="Q45" s="165">
        <v>4.6299999999999998E-4</v>
      </c>
    </row>
    <row r="46" spans="7:17" x14ac:dyDescent="0.25">
      <c r="G46" s="175">
        <v>39</v>
      </c>
      <c r="H46" s="173">
        <f t="shared" si="1"/>
        <v>8.0000000000000004E-4</v>
      </c>
      <c r="K46">
        <v>39</v>
      </c>
      <c r="L46">
        <v>8.0000000000000004E-4</v>
      </c>
      <c r="P46">
        <v>39</v>
      </c>
      <c r="Q46" s="165">
        <v>5.04E-4</v>
      </c>
    </row>
    <row r="47" spans="7:17" x14ac:dyDescent="0.25">
      <c r="G47" s="175">
        <v>40</v>
      </c>
      <c r="H47" s="173">
        <f t="shared" si="1"/>
        <v>8.5899999999999995E-4</v>
      </c>
      <c r="K47">
        <v>40</v>
      </c>
      <c r="L47">
        <v>8.5899999999999995E-4</v>
      </c>
      <c r="P47">
        <v>40</v>
      </c>
      <c r="Q47" s="165">
        <v>5.5199999999999997E-4</v>
      </c>
    </row>
    <row r="48" spans="7:17" x14ac:dyDescent="0.25">
      <c r="G48" s="175">
        <v>41</v>
      </c>
      <c r="H48" s="173">
        <f t="shared" si="1"/>
        <v>9.2599999999999996E-4</v>
      </c>
      <c r="K48">
        <v>41</v>
      </c>
      <c r="L48">
        <v>9.2599999999999996E-4</v>
      </c>
      <c r="P48">
        <v>41</v>
      </c>
      <c r="Q48" s="165">
        <v>5.9999999999999995E-4</v>
      </c>
    </row>
    <row r="49" spans="7:17" x14ac:dyDescent="0.25">
      <c r="G49" s="175">
        <v>42</v>
      </c>
      <c r="H49" s="173">
        <f t="shared" si="1"/>
        <v>9.990000000000001E-4</v>
      </c>
      <c r="K49">
        <v>42</v>
      </c>
      <c r="L49">
        <v>9.990000000000001E-4</v>
      </c>
      <c r="P49">
        <v>42</v>
      </c>
      <c r="Q49" s="165">
        <v>6.4999999999999997E-4</v>
      </c>
    </row>
    <row r="50" spans="7:17" x14ac:dyDescent="0.25">
      <c r="G50" s="175">
        <v>43</v>
      </c>
      <c r="H50" s="173">
        <f t="shared" si="1"/>
        <v>1.0690000000000001E-3</v>
      </c>
      <c r="K50">
        <v>43</v>
      </c>
      <c r="L50">
        <v>1.0690000000000001E-3</v>
      </c>
      <c r="P50">
        <v>43</v>
      </c>
      <c r="Q50" s="165">
        <v>6.9700000000000003E-4</v>
      </c>
    </row>
    <row r="51" spans="7:17" x14ac:dyDescent="0.25">
      <c r="G51" s="175">
        <v>44</v>
      </c>
      <c r="H51" s="173">
        <f t="shared" si="1"/>
        <v>1.142E-3</v>
      </c>
      <c r="K51">
        <v>44</v>
      </c>
      <c r="L51">
        <v>1.142E-3</v>
      </c>
      <c r="P51">
        <v>44</v>
      </c>
      <c r="Q51" s="165">
        <v>7.3999999999999999E-4</v>
      </c>
    </row>
    <row r="52" spans="7:17" x14ac:dyDescent="0.25">
      <c r="G52" s="175">
        <v>45</v>
      </c>
      <c r="H52" s="173">
        <f t="shared" si="1"/>
        <v>1.219E-3</v>
      </c>
      <c r="K52">
        <v>45</v>
      </c>
      <c r="L52">
        <v>1.219E-3</v>
      </c>
      <c r="P52">
        <v>45</v>
      </c>
      <c r="Q52" s="165">
        <v>7.7999999999999999E-4</v>
      </c>
    </row>
    <row r="53" spans="7:17" x14ac:dyDescent="0.25">
      <c r="G53" s="175">
        <v>46</v>
      </c>
      <c r="H53" s="173">
        <f t="shared" si="1"/>
        <v>1.3179999999999999E-3</v>
      </c>
      <c r="K53">
        <v>46</v>
      </c>
      <c r="L53">
        <v>1.3179999999999999E-3</v>
      </c>
      <c r="P53">
        <v>46</v>
      </c>
      <c r="Q53" s="165">
        <v>8.25E-4</v>
      </c>
    </row>
    <row r="54" spans="7:17" x14ac:dyDescent="0.25">
      <c r="G54" s="175">
        <v>47</v>
      </c>
      <c r="H54" s="173">
        <f t="shared" si="1"/>
        <v>1.454E-3</v>
      </c>
      <c r="K54">
        <v>47</v>
      </c>
      <c r="L54">
        <v>1.454E-3</v>
      </c>
      <c r="P54">
        <v>47</v>
      </c>
      <c r="Q54" s="165">
        <v>8.8500000000000004E-4</v>
      </c>
    </row>
    <row r="55" spans="7:17" x14ac:dyDescent="0.25">
      <c r="G55" s="175">
        <v>48</v>
      </c>
      <c r="H55" s="173">
        <f t="shared" si="1"/>
        <v>1.627E-3</v>
      </c>
      <c r="K55">
        <v>48</v>
      </c>
      <c r="L55">
        <v>1.627E-3</v>
      </c>
      <c r="P55">
        <v>48</v>
      </c>
      <c r="Q55" s="165">
        <v>9.6400000000000001E-4</v>
      </c>
    </row>
    <row r="56" spans="7:17" x14ac:dyDescent="0.25">
      <c r="G56" s="175">
        <v>49</v>
      </c>
      <c r="H56" s="173">
        <f t="shared" si="1"/>
        <v>1.8289999999999999E-3</v>
      </c>
      <c r="K56">
        <v>49</v>
      </c>
      <c r="L56">
        <v>1.8289999999999999E-3</v>
      </c>
      <c r="P56">
        <v>49</v>
      </c>
      <c r="Q56" s="165">
        <v>1.0510000000000001E-3</v>
      </c>
    </row>
    <row r="57" spans="7:17" x14ac:dyDescent="0.25">
      <c r="G57" s="175">
        <v>50</v>
      </c>
      <c r="H57" s="173">
        <f t="shared" si="1"/>
        <v>2.0569999999999998E-3</v>
      </c>
      <c r="K57">
        <v>50</v>
      </c>
      <c r="L57">
        <v>2.0569999999999998E-3</v>
      </c>
      <c r="P57">
        <v>50</v>
      </c>
      <c r="Q57" s="165">
        <v>1.1609999999999999E-3</v>
      </c>
    </row>
    <row r="58" spans="7:17" x14ac:dyDescent="0.25">
      <c r="G58" s="175">
        <v>51</v>
      </c>
      <c r="H58" s="173">
        <f t="shared" si="1"/>
        <v>2.3019999999999998E-3</v>
      </c>
      <c r="K58">
        <v>51</v>
      </c>
      <c r="L58">
        <v>2.3019999999999998E-3</v>
      </c>
      <c r="P58">
        <v>51</v>
      </c>
      <c r="Q58" s="165">
        <v>1.3079999999999999E-3</v>
      </c>
    </row>
    <row r="59" spans="7:17" x14ac:dyDescent="0.25">
      <c r="G59" s="175">
        <v>52</v>
      </c>
      <c r="H59" s="173">
        <f t="shared" si="1"/>
        <v>2.545E-3</v>
      </c>
      <c r="K59">
        <v>52</v>
      </c>
      <c r="L59">
        <v>2.545E-3</v>
      </c>
      <c r="P59">
        <v>52</v>
      </c>
      <c r="Q59" s="165">
        <v>1.4599999999999999E-3</v>
      </c>
    </row>
    <row r="60" spans="7:17" x14ac:dyDescent="0.25">
      <c r="G60" s="175">
        <v>53</v>
      </c>
      <c r="H60" s="173">
        <f t="shared" si="1"/>
        <v>2.7789999999999998E-3</v>
      </c>
      <c r="K60">
        <v>53</v>
      </c>
      <c r="L60">
        <v>2.7789999999999998E-3</v>
      </c>
      <c r="P60">
        <v>53</v>
      </c>
      <c r="Q60" s="165">
        <v>1.6130000000000001E-3</v>
      </c>
    </row>
    <row r="61" spans="7:17" x14ac:dyDescent="0.25">
      <c r="G61" s="175">
        <v>54</v>
      </c>
      <c r="H61" s="173">
        <f t="shared" si="1"/>
        <v>3.0109999999999998E-3</v>
      </c>
      <c r="K61">
        <v>54</v>
      </c>
      <c r="L61">
        <v>3.0109999999999998E-3</v>
      </c>
      <c r="P61">
        <v>54</v>
      </c>
      <c r="Q61" s="165">
        <v>1.774E-3</v>
      </c>
    </row>
    <row r="62" spans="7:17" x14ac:dyDescent="0.25">
      <c r="G62" s="175">
        <v>55</v>
      </c>
      <c r="H62" s="173">
        <f t="shared" si="1"/>
        <v>3.2539999999999999E-3</v>
      </c>
      <c r="K62">
        <v>55</v>
      </c>
      <c r="L62">
        <v>3.2539999999999999E-3</v>
      </c>
      <c r="P62">
        <v>55</v>
      </c>
      <c r="Q62" s="165">
        <v>1.9499999999999999E-3</v>
      </c>
    </row>
    <row r="63" spans="7:17" x14ac:dyDescent="0.25">
      <c r="G63" s="175">
        <v>56</v>
      </c>
      <c r="H63" s="173">
        <f t="shared" si="1"/>
        <v>3.529E-3</v>
      </c>
      <c r="K63">
        <v>56</v>
      </c>
      <c r="L63">
        <v>3.529E-3</v>
      </c>
      <c r="P63">
        <v>56</v>
      </c>
      <c r="Q63" s="165">
        <v>2.1540000000000001E-3</v>
      </c>
    </row>
    <row r="64" spans="7:17" x14ac:dyDescent="0.25">
      <c r="G64" s="175">
        <v>57</v>
      </c>
      <c r="H64" s="173">
        <f t="shared" si="1"/>
        <v>3.8449999999999999E-3</v>
      </c>
      <c r="K64">
        <v>57</v>
      </c>
      <c r="L64">
        <v>3.8449999999999999E-3</v>
      </c>
      <c r="P64">
        <v>57</v>
      </c>
      <c r="Q64" s="165">
        <v>2.3990000000000001E-3</v>
      </c>
    </row>
    <row r="65" spans="7:17" x14ac:dyDescent="0.25">
      <c r="G65" s="175">
        <v>58</v>
      </c>
      <c r="H65" s="173">
        <f t="shared" si="1"/>
        <v>4.2129999999999997E-3</v>
      </c>
      <c r="K65">
        <v>58</v>
      </c>
      <c r="L65">
        <v>4.2129999999999997E-3</v>
      </c>
      <c r="P65">
        <v>58</v>
      </c>
      <c r="Q65" s="165">
        <v>2.7000000000000001E-3</v>
      </c>
    </row>
    <row r="66" spans="7:17" x14ac:dyDescent="0.25">
      <c r="G66" s="175">
        <v>59</v>
      </c>
      <c r="H66" s="173">
        <f t="shared" si="1"/>
        <v>4.6309999999999997E-3</v>
      </c>
      <c r="K66">
        <v>59</v>
      </c>
      <c r="L66">
        <v>4.6309999999999997E-3</v>
      </c>
      <c r="P66">
        <v>59</v>
      </c>
      <c r="Q66" s="165">
        <v>3.0539999999999999E-3</v>
      </c>
    </row>
    <row r="67" spans="7:17" x14ac:dyDescent="0.25">
      <c r="G67" s="175">
        <v>60</v>
      </c>
      <c r="H67" s="173">
        <f t="shared" si="1"/>
        <v>5.0959999999999998E-3</v>
      </c>
      <c r="K67">
        <v>60</v>
      </c>
      <c r="L67">
        <v>5.0959999999999998E-3</v>
      </c>
      <c r="P67">
        <v>60</v>
      </c>
      <c r="Q67" s="165">
        <v>3.46E-3</v>
      </c>
    </row>
    <row r="68" spans="7:17" x14ac:dyDescent="0.25">
      <c r="G68" s="175">
        <v>61</v>
      </c>
      <c r="H68" s="173">
        <f t="shared" si="1"/>
        <v>5.6140000000000001E-3</v>
      </c>
      <c r="K68">
        <v>61</v>
      </c>
      <c r="L68">
        <v>5.6140000000000001E-3</v>
      </c>
      <c r="P68">
        <v>61</v>
      </c>
      <c r="Q68" s="165">
        <v>3.9160000000000002E-3</v>
      </c>
    </row>
    <row r="69" spans="7:17" x14ac:dyDescent="0.25">
      <c r="G69" s="175">
        <v>62</v>
      </c>
      <c r="H69" s="173">
        <f t="shared" si="1"/>
        <v>6.169E-3</v>
      </c>
      <c r="K69">
        <v>62</v>
      </c>
      <c r="L69">
        <v>6.169E-3</v>
      </c>
      <c r="P69">
        <v>62</v>
      </c>
      <c r="Q69" s="165">
        <v>4.4089999999999997E-3</v>
      </c>
    </row>
    <row r="70" spans="7:17" x14ac:dyDescent="0.25">
      <c r="G70" s="175">
        <v>63</v>
      </c>
      <c r="H70" s="173">
        <f t="shared" si="1"/>
        <v>6.7590000000000003E-3</v>
      </c>
      <c r="K70">
        <v>63</v>
      </c>
      <c r="L70">
        <v>6.7590000000000003E-3</v>
      </c>
      <c r="P70">
        <v>63</v>
      </c>
      <c r="Q70" s="165">
        <v>4.9329999999999999E-3</v>
      </c>
    </row>
    <row r="71" spans="7:17" x14ac:dyDescent="0.25">
      <c r="G71" s="175">
        <v>64</v>
      </c>
      <c r="H71" s="173">
        <f t="shared" ref="H71:H102" si="2">IF($C$6=1,L71,IF($C$6=2,Q71,"Error"))*$D$6+$E$6</f>
        <v>7.3980000000000001E-3</v>
      </c>
      <c r="K71">
        <v>64</v>
      </c>
      <c r="L71">
        <v>7.3980000000000001E-3</v>
      </c>
      <c r="P71">
        <v>64</v>
      </c>
      <c r="Q71" s="165">
        <v>5.5069999999999997E-3</v>
      </c>
    </row>
    <row r="72" spans="7:17" x14ac:dyDescent="0.25">
      <c r="G72" s="175">
        <v>65</v>
      </c>
      <c r="H72" s="173">
        <f t="shared" si="2"/>
        <v>8.1060000000000004E-3</v>
      </c>
      <c r="K72">
        <v>65</v>
      </c>
      <c r="L72">
        <v>8.1060000000000004E-3</v>
      </c>
      <c r="P72">
        <v>65</v>
      </c>
      <c r="Q72" s="165">
        <v>6.1460000000000004E-3</v>
      </c>
    </row>
    <row r="73" spans="7:17" x14ac:dyDescent="0.25">
      <c r="G73" s="175">
        <v>66</v>
      </c>
      <c r="H73" s="173">
        <f t="shared" si="2"/>
        <v>8.548E-3</v>
      </c>
      <c r="K73">
        <v>66</v>
      </c>
      <c r="L73">
        <v>8.548E-3</v>
      </c>
      <c r="P73">
        <v>66</v>
      </c>
      <c r="Q73" s="165">
        <v>6.5510000000000004E-3</v>
      </c>
    </row>
    <row r="74" spans="7:17" x14ac:dyDescent="0.25">
      <c r="G74" s="175">
        <v>67</v>
      </c>
      <c r="H74" s="173">
        <f t="shared" si="2"/>
        <v>9.0760000000000007E-3</v>
      </c>
      <c r="K74">
        <v>67</v>
      </c>
      <c r="L74">
        <v>9.0760000000000007E-3</v>
      </c>
      <c r="P74">
        <v>67</v>
      </c>
      <c r="Q74" s="165">
        <v>7.0390000000000001E-3</v>
      </c>
    </row>
    <row r="75" spans="7:17" x14ac:dyDescent="0.25">
      <c r="G75" s="175">
        <v>68</v>
      </c>
      <c r="H75" s="173">
        <f t="shared" si="2"/>
        <v>9.7079999999999996E-3</v>
      </c>
      <c r="K75">
        <v>68</v>
      </c>
      <c r="L75">
        <v>9.7079999999999996E-3</v>
      </c>
      <c r="P75">
        <v>68</v>
      </c>
      <c r="Q75" s="165">
        <v>7.6280000000000002E-3</v>
      </c>
    </row>
    <row r="76" spans="7:17" x14ac:dyDescent="0.25">
      <c r="G76" s="175">
        <v>69</v>
      </c>
      <c r="H76" s="173">
        <f t="shared" si="2"/>
        <v>1.0463E-2</v>
      </c>
      <c r="K76">
        <v>69</v>
      </c>
      <c r="L76">
        <v>1.0463E-2</v>
      </c>
      <c r="P76">
        <v>69</v>
      </c>
      <c r="Q76" s="165">
        <v>8.3110000000000007E-3</v>
      </c>
    </row>
    <row r="77" spans="7:17" x14ac:dyDescent="0.25">
      <c r="G77" s="175">
        <v>70</v>
      </c>
      <c r="H77" s="173">
        <f t="shared" si="2"/>
        <v>1.1357000000000001E-2</v>
      </c>
      <c r="K77">
        <v>70</v>
      </c>
      <c r="L77">
        <v>1.1357000000000001E-2</v>
      </c>
      <c r="P77">
        <v>70</v>
      </c>
      <c r="Q77" s="165">
        <v>9.0740000000000005E-3</v>
      </c>
    </row>
    <row r="78" spans="7:17" x14ac:dyDescent="0.25">
      <c r="G78" s="175">
        <v>71</v>
      </c>
      <c r="H78" s="173">
        <f t="shared" si="2"/>
        <v>1.2418E-2</v>
      </c>
      <c r="K78">
        <v>71</v>
      </c>
      <c r="L78">
        <v>1.2418E-2</v>
      </c>
      <c r="P78">
        <v>71</v>
      </c>
      <c r="Q78" s="165">
        <v>9.9100000000000004E-3</v>
      </c>
    </row>
    <row r="79" spans="7:17" x14ac:dyDescent="0.25">
      <c r="G79" s="175">
        <v>72</v>
      </c>
      <c r="H79" s="173">
        <f t="shared" si="2"/>
        <v>1.3675E-2</v>
      </c>
      <c r="K79">
        <v>72</v>
      </c>
      <c r="L79">
        <v>1.3675E-2</v>
      </c>
      <c r="P79">
        <v>72</v>
      </c>
      <c r="Q79" s="165">
        <v>1.0827E-2</v>
      </c>
    </row>
    <row r="80" spans="7:17" x14ac:dyDescent="0.25">
      <c r="G80" s="175">
        <v>73</v>
      </c>
      <c r="H80" s="173">
        <f t="shared" si="2"/>
        <v>1.515E-2</v>
      </c>
      <c r="K80">
        <v>73</v>
      </c>
      <c r="L80">
        <v>1.515E-2</v>
      </c>
      <c r="P80">
        <v>73</v>
      </c>
      <c r="Q80" s="165">
        <v>1.1839000000000001E-2</v>
      </c>
    </row>
    <row r="81" spans="7:17" x14ac:dyDescent="0.25">
      <c r="G81" s="175">
        <v>74</v>
      </c>
      <c r="H81" s="173">
        <f t="shared" si="2"/>
        <v>1.686E-2</v>
      </c>
      <c r="K81">
        <v>74</v>
      </c>
      <c r="L81">
        <v>1.686E-2</v>
      </c>
      <c r="P81">
        <v>74</v>
      </c>
      <c r="Q81" s="165">
        <v>1.2973999999999999E-2</v>
      </c>
    </row>
    <row r="82" spans="7:17" x14ac:dyDescent="0.25">
      <c r="G82" s="175">
        <v>75</v>
      </c>
      <c r="H82" s="173">
        <f t="shared" si="2"/>
        <v>1.8814999999999998E-2</v>
      </c>
      <c r="K82">
        <v>75</v>
      </c>
      <c r="L82">
        <v>1.8814999999999998E-2</v>
      </c>
      <c r="P82">
        <v>75</v>
      </c>
      <c r="Q82" s="165">
        <v>1.4282E-2</v>
      </c>
    </row>
    <row r="83" spans="7:17" x14ac:dyDescent="0.25">
      <c r="G83" s="175">
        <v>76</v>
      </c>
      <c r="H83" s="173">
        <f t="shared" si="2"/>
        <v>2.1031000000000001E-2</v>
      </c>
      <c r="K83">
        <v>76</v>
      </c>
      <c r="L83">
        <v>2.1031000000000001E-2</v>
      </c>
      <c r="P83">
        <v>76</v>
      </c>
      <c r="Q83" s="165">
        <v>1.5799000000000001E-2</v>
      </c>
    </row>
    <row r="84" spans="7:17" x14ac:dyDescent="0.25">
      <c r="G84" s="175">
        <v>77</v>
      </c>
      <c r="H84" s="173">
        <f t="shared" si="2"/>
        <v>2.3539999999999998E-2</v>
      </c>
      <c r="K84">
        <v>77</v>
      </c>
      <c r="L84">
        <v>2.3539999999999998E-2</v>
      </c>
      <c r="P84">
        <v>77</v>
      </c>
      <c r="Q84" s="165">
        <v>1.755E-2</v>
      </c>
    </row>
    <row r="85" spans="7:17" x14ac:dyDescent="0.25">
      <c r="G85" s="175">
        <v>78</v>
      </c>
      <c r="H85" s="173">
        <f t="shared" si="2"/>
        <v>2.6374999999999999E-2</v>
      </c>
      <c r="K85">
        <v>78</v>
      </c>
      <c r="L85">
        <v>2.6374999999999999E-2</v>
      </c>
      <c r="P85">
        <v>78</v>
      </c>
      <c r="Q85" s="165">
        <v>1.9581999999999999E-2</v>
      </c>
    </row>
    <row r="86" spans="7:17" x14ac:dyDescent="0.25">
      <c r="G86" s="175">
        <v>79</v>
      </c>
      <c r="H86" s="173">
        <f t="shared" si="2"/>
        <v>2.9572000000000001E-2</v>
      </c>
      <c r="K86">
        <v>79</v>
      </c>
      <c r="L86">
        <v>2.9572000000000001E-2</v>
      </c>
      <c r="P86">
        <v>79</v>
      </c>
      <c r="Q86" s="165">
        <v>2.197E-2</v>
      </c>
    </row>
    <row r="87" spans="7:17" x14ac:dyDescent="0.25">
      <c r="G87" s="175">
        <v>80</v>
      </c>
      <c r="H87" s="173">
        <f t="shared" si="2"/>
        <v>3.3234E-2</v>
      </c>
      <c r="K87">
        <v>80</v>
      </c>
      <c r="L87">
        <v>3.3234E-2</v>
      </c>
      <c r="P87">
        <v>80</v>
      </c>
      <c r="Q87" s="165">
        <v>2.4820999999999999E-2</v>
      </c>
    </row>
    <row r="88" spans="7:17" x14ac:dyDescent="0.25">
      <c r="G88" s="175">
        <v>81</v>
      </c>
      <c r="H88" s="173">
        <f t="shared" si="2"/>
        <v>3.7532999999999997E-2</v>
      </c>
      <c r="K88">
        <v>81</v>
      </c>
      <c r="L88">
        <v>3.7532999999999997E-2</v>
      </c>
      <c r="P88">
        <v>81</v>
      </c>
      <c r="Q88" s="165">
        <v>2.8351000000000001E-2</v>
      </c>
    </row>
    <row r="89" spans="7:17" x14ac:dyDescent="0.25">
      <c r="G89" s="175">
        <v>82</v>
      </c>
      <c r="H89" s="173">
        <f t="shared" si="2"/>
        <v>4.2261E-2</v>
      </c>
      <c r="K89">
        <v>82</v>
      </c>
      <c r="L89">
        <v>4.2261E-2</v>
      </c>
      <c r="P89">
        <v>82</v>
      </c>
      <c r="Q89" s="165">
        <v>3.2509000000000003E-2</v>
      </c>
    </row>
    <row r="90" spans="7:17" x14ac:dyDescent="0.25">
      <c r="G90" s="175">
        <v>83</v>
      </c>
      <c r="H90" s="173">
        <f t="shared" si="2"/>
        <v>4.7440999999999997E-2</v>
      </c>
      <c r="K90">
        <v>83</v>
      </c>
      <c r="L90">
        <v>4.7440999999999997E-2</v>
      </c>
      <c r="P90">
        <v>83</v>
      </c>
      <c r="Q90" s="165">
        <v>3.7329000000000001E-2</v>
      </c>
    </row>
    <row r="91" spans="7:17" x14ac:dyDescent="0.25">
      <c r="G91" s="175">
        <v>84</v>
      </c>
      <c r="H91" s="173">
        <f t="shared" si="2"/>
        <v>5.3233000000000003E-2</v>
      </c>
      <c r="K91">
        <v>84</v>
      </c>
      <c r="L91">
        <v>5.3233000000000003E-2</v>
      </c>
      <c r="P91">
        <v>84</v>
      </c>
      <c r="Q91" s="165">
        <v>4.283E-2</v>
      </c>
    </row>
    <row r="92" spans="7:17" x14ac:dyDescent="0.25">
      <c r="G92" s="175">
        <v>85</v>
      </c>
      <c r="H92" s="173">
        <f t="shared" si="2"/>
        <v>5.9854999999999998E-2</v>
      </c>
      <c r="K92">
        <v>85</v>
      </c>
      <c r="L92">
        <v>5.9854999999999998E-2</v>
      </c>
      <c r="P92">
        <v>85</v>
      </c>
      <c r="Q92" s="165">
        <v>4.8996999999999999E-2</v>
      </c>
    </row>
    <row r="93" spans="7:17" x14ac:dyDescent="0.25">
      <c r="G93" s="175">
        <v>86</v>
      </c>
      <c r="H93" s="173">
        <f t="shared" si="2"/>
        <v>6.7514000000000005E-2</v>
      </c>
      <c r="K93">
        <v>86</v>
      </c>
      <c r="L93">
        <v>6.7514000000000005E-2</v>
      </c>
      <c r="P93">
        <v>86</v>
      </c>
      <c r="Q93" s="165">
        <v>5.5773999999999997E-2</v>
      </c>
    </row>
    <row r="94" spans="7:17" x14ac:dyDescent="0.25">
      <c r="G94" s="175">
        <v>87</v>
      </c>
      <c r="H94" s="173">
        <f t="shared" si="2"/>
        <v>7.6340000000000005E-2</v>
      </c>
      <c r="K94">
        <v>87</v>
      </c>
      <c r="L94">
        <v>7.6340000000000005E-2</v>
      </c>
      <c r="P94">
        <v>87</v>
      </c>
      <c r="Q94" s="165">
        <v>6.3140000000000002E-2</v>
      </c>
    </row>
    <row r="95" spans="7:17" x14ac:dyDescent="0.25">
      <c r="G95" s="175">
        <v>88</v>
      </c>
      <c r="H95" s="173">
        <f t="shared" si="2"/>
        <v>8.6388000000000006E-2</v>
      </c>
      <c r="K95">
        <v>88</v>
      </c>
      <c r="L95">
        <v>8.6388000000000006E-2</v>
      </c>
      <c r="P95">
        <v>88</v>
      </c>
      <c r="Q95" s="165">
        <v>7.1066000000000004E-2</v>
      </c>
    </row>
    <row r="96" spans="7:17" x14ac:dyDescent="0.25">
      <c r="G96" s="175">
        <v>89</v>
      </c>
      <c r="H96" s="173">
        <f t="shared" si="2"/>
        <v>9.7633999999999999E-2</v>
      </c>
      <c r="K96">
        <v>89</v>
      </c>
      <c r="L96">
        <v>9.7633999999999999E-2</v>
      </c>
      <c r="P96">
        <v>89</v>
      </c>
      <c r="Q96" s="165">
        <v>7.9502000000000003E-2</v>
      </c>
    </row>
    <row r="97" spans="7:17" x14ac:dyDescent="0.25">
      <c r="G97" s="175">
        <v>90</v>
      </c>
      <c r="H97" s="173">
        <f t="shared" si="2"/>
        <v>0.10999299999999999</v>
      </c>
      <c r="K97">
        <v>90</v>
      </c>
      <c r="L97">
        <v>0.10999299999999999</v>
      </c>
      <c r="P97">
        <v>90</v>
      </c>
      <c r="Q97" s="165">
        <v>8.8376999999999997E-2</v>
      </c>
    </row>
    <row r="98" spans="7:17" x14ac:dyDescent="0.25">
      <c r="G98" s="175">
        <v>91</v>
      </c>
      <c r="H98" s="173">
        <f t="shared" si="2"/>
        <v>0.12311900000000001</v>
      </c>
      <c r="K98">
        <v>91</v>
      </c>
      <c r="L98">
        <v>0.12311900000000001</v>
      </c>
      <c r="P98">
        <v>91</v>
      </c>
      <c r="Q98" s="165">
        <v>9.7490999999999994E-2</v>
      </c>
    </row>
    <row r="99" spans="7:17" x14ac:dyDescent="0.25">
      <c r="G99" s="175">
        <v>92</v>
      </c>
      <c r="H99" s="173">
        <f t="shared" si="2"/>
        <v>0.13716800000000001</v>
      </c>
      <c r="K99">
        <v>92</v>
      </c>
      <c r="L99">
        <v>0.13716800000000001</v>
      </c>
      <c r="P99">
        <v>92</v>
      </c>
      <c r="Q99" s="165">
        <v>0.107269</v>
      </c>
    </row>
    <row r="100" spans="7:17" x14ac:dyDescent="0.25">
      <c r="G100" s="175">
        <v>93</v>
      </c>
      <c r="H100" s="173">
        <f t="shared" si="2"/>
        <v>0.152171</v>
      </c>
      <c r="K100">
        <v>93</v>
      </c>
      <c r="L100">
        <v>0.152171</v>
      </c>
      <c r="P100">
        <v>93</v>
      </c>
      <c r="Q100" s="165">
        <v>0.118201</v>
      </c>
    </row>
    <row r="101" spans="7:17" x14ac:dyDescent="0.25">
      <c r="G101" s="175">
        <v>94</v>
      </c>
      <c r="H101" s="173">
        <f t="shared" si="2"/>
        <v>0.16819400000000001</v>
      </c>
      <c r="K101">
        <v>94</v>
      </c>
      <c r="L101">
        <v>0.16819400000000001</v>
      </c>
      <c r="P101">
        <v>94</v>
      </c>
      <c r="Q101" s="165">
        <v>0.130969</v>
      </c>
    </row>
    <row r="102" spans="7:17" x14ac:dyDescent="0.25">
      <c r="G102" s="175">
        <v>95</v>
      </c>
      <c r="H102" s="173">
        <f t="shared" si="2"/>
        <v>0.18526000000000001</v>
      </c>
      <c r="K102">
        <v>95</v>
      </c>
      <c r="L102">
        <v>0.18526000000000001</v>
      </c>
      <c r="P102">
        <v>95</v>
      </c>
      <c r="Q102" s="165">
        <v>0.146449</v>
      </c>
    </row>
    <row r="103" spans="7:17" x14ac:dyDescent="0.25">
      <c r="G103" s="175">
        <v>96</v>
      </c>
      <c r="H103" s="173">
        <f t="shared" ref="H103:H127" si="3">IF($C$6=1,L103,IF($C$6=2,Q103,"Error"))*$D$6+$E$6</f>
        <v>0.197322</v>
      </c>
      <c r="K103">
        <v>96</v>
      </c>
      <c r="L103">
        <v>0.197322</v>
      </c>
      <c r="P103">
        <v>96</v>
      </c>
      <c r="Q103" s="165">
        <v>0.163908</v>
      </c>
    </row>
    <row r="104" spans="7:17" x14ac:dyDescent="0.25">
      <c r="G104" s="175">
        <v>97</v>
      </c>
      <c r="H104" s="173">
        <f t="shared" si="3"/>
        <v>0.214751</v>
      </c>
      <c r="K104">
        <v>97</v>
      </c>
      <c r="L104">
        <v>0.214751</v>
      </c>
      <c r="P104">
        <v>97</v>
      </c>
      <c r="Q104" s="165">
        <v>0.17969499999999999</v>
      </c>
    </row>
    <row r="105" spans="7:17" x14ac:dyDescent="0.25">
      <c r="G105" s="175">
        <v>98</v>
      </c>
      <c r="H105" s="173">
        <f t="shared" si="3"/>
        <v>0.23250699999999999</v>
      </c>
      <c r="K105">
        <v>98</v>
      </c>
      <c r="L105">
        <v>0.23250699999999999</v>
      </c>
      <c r="P105">
        <v>98</v>
      </c>
      <c r="Q105" s="165">
        <v>0.19615099999999999</v>
      </c>
    </row>
    <row r="106" spans="7:17" x14ac:dyDescent="0.25">
      <c r="G106" s="175">
        <v>99</v>
      </c>
      <c r="H106" s="173">
        <f t="shared" si="3"/>
        <v>0.25039699999999998</v>
      </c>
      <c r="K106">
        <v>99</v>
      </c>
      <c r="L106">
        <v>0.25039699999999998</v>
      </c>
      <c r="P106">
        <v>99</v>
      </c>
      <c r="Q106" s="165">
        <v>0.21315000000000001</v>
      </c>
    </row>
    <row r="107" spans="7:17" x14ac:dyDescent="0.25">
      <c r="G107" s="175">
        <v>100</v>
      </c>
      <c r="H107" s="173">
        <f t="shared" si="3"/>
        <v>0.26860699999999998</v>
      </c>
      <c r="K107">
        <v>100</v>
      </c>
      <c r="L107">
        <v>0.26860699999999998</v>
      </c>
      <c r="P107">
        <v>100</v>
      </c>
      <c r="Q107" s="165">
        <v>0.23072200000000001</v>
      </c>
    </row>
    <row r="108" spans="7:17" x14ac:dyDescent="0.25">
      <c r="G108" s="175">
        <v>101</v>
      </c>
      <c r="H108" s="173">
        <f t="shared" si="3"/>
        <v>0.290016</v>
      </c>
      <c r="K108">
        <v>101</v>
      </c>
      <c r="L108">
        <v>0.290016</v>
      </c>
      <c r="P108">
        <v>101</v>
      </c>
      <c r="Q108" s="165">
        <v>0.25150499999999998</v>
      </c>
    </row>
    <row r="109" spans="7:17" x14ac:dyDescent="0.25">
      <c r="G109" s="175">
        <v>102</v>
      </c>
      <c r="H109" s="173">
        <f t="shared" si="3"/>
        <v>0.31184899999999999</v>
      </c>
      <c r="K109">
        <v>102</v>
      </c>
      <c r="L109">
        <v>0.31184899999999999</v>
      </c>
      <c r="P109">
        <v>102</v>
      </c>
      <c r="Q109" s="165">
        <v>0.273007</v>
      </c>
    </row>
    <row r="110" spans="7:17" x14ac:dyDescent="0.25">
      <c r="G110" s="175">
        <v>103</v>
      </c>
      <c r="H110" s="173">
        <f t="shared" si="3"/>
        <v>0.33396199999999998</v>
      </c>
      <c r="K110">
        <v>103</v>
      </c>
      <c r="L110">
        <v>0.33396199999999998</v>
      </c>
      <c r="P110">
        <v>103</v>
      </c>
      <c r="Q110" s="165">
        <v>0.29508600000000001</v>
      </c>
    </row>
    <row r="111" spans="7:17" x14ac:dyDescent="0.25">
      <c r="G111" s="175">
        <v>104</v>
      </c>
      <c r="H111" s="173">
        <f t="shared" si="3"/>
        <v>0.356207</v>
      </c>
      <c r="K111">
        <v>104</v>
      </c>
      <c r="L111">
        <v>0.356207</v>
      </c>
      <c r="P111">
        <v>104</v>
      </c>
      <c r="Q111" s="165">
        <v>0.31759100000000001</v>
      </c>
    </row>
    <row r="112" spans="7:17" x14ac:dyDescent="0.25">
      <c r="G112" s="175">
        <v>105</v>
      </c>
      <c r="H112" s="173">
        <f t="shared" si="3"/>
        <v>0.38</v>
      </c>
      <c r="K112">
        <v>105</v>
      </c>
      <c r="L112">
        <v>0.38</v>
      </c>
      <c r="P112">
        <v>105</v>
      </c>
      <c r="Q112" s="165">
        <v>0.340362</v>
      </c>
    </row>
    <row r="113" spans="7:17" x14ac:dyDescent="0.25">
      <c r="G113" s="175">
        <v>106</v>
      </c>
      <c r="H113" s="173">
        <f t="shared" si="3"/>
        <v>0.4</v>
      </c>
      <c r="K113">
        <v>106</v>
      </c>
      <c r="L113">
        <v>0.4</v>
      </c>
      <c r="P113">
        <v>106</v>
      </c>
      <c r="Q113" s="165">
        <v>0.362371</v>
      </c>
    </row>
    <row r="114" spans="7:17" x14ac:dyDescent="0.25">
      <c r="G114" s="175">
        <v>107</v>
      </c>
      <c r="H114" s="173">
        <f t="shared" si="3"/>
        <v>0.4</v>
      </c>
      <c r="K114">
        <v>107</v>
      </c>
      <c r="L114">
        <v>0.4</v>
      </c>
      <c r="P114">
        <v>107</v>
      </c>
      <c r="Q114" s="165">
        <v>0.38411299999999998</v>
      </c>
    </row>
    <row r="115" spans="7:17" x14ac:dyDescent="0.25">
      <c r="G115" s="175">
        <v>108</v>
      </c>
      <c r="H115" s="173">
        <f t="shared" si="3"/>
        <v>0.4</v>
      </c>
      <c r="K115">
        <v>108</v>
      </c>
      <c r="L115">
        <v>0.4</v>
      </c>
      <c r="P115">
        <v>108</v>
      </c>
      <c r="Q115" s="165">
        <v>0.4</v>
      </c>
    </row>
    <row r="116" spans="7:17" x14ac:dyDescent="0.25">
      <c r="G116" s="175">
        <v>109</v>
      </c>
      <c r="H116" s="173">
        <f t="shared" si="3"/>
        <v>0.4</v>
      </c>
      <c r="K116">
        <v>109</v>
      </c>
      <c r="L116">
        <v>0.4</v>
      </c>
      <c r="P116">
        <v>109</v>
      </c>
      <c r="Q116" s="165">
        <v>0.4</v>
      </c>
    </row>
    <row r="117" spans="7:17" x14ac:dyDescent="0.25">
      <c r="G117" s="175">
        <v>110</v>
      </c>
      <c r="H117" s="173">
        <f t="shared" si="3"/>
        <v>0.4</v>
      </c>
      <c r="K117">
        <v>110</v>
      </c>
      <c r="L117">
        <v>0.4</v>
      </c>
      <c r="P117">
        <v>110</v>
      </c>
      <c r="Q117" s="165">
        <v>0.4</v>
      </c>
    </row>
    <row r="118" spans="7:17" x14ac:dyDescent="0.25">
      <c r="G118" s="175">
        <v>111</v>
      </c>
      <c r="H118" s="173">
        <f t="shared" si="3"/>
        <v>0.4</v>
      </c>
      <c r="K118">
        <v>111</v>
      </c>
      <c r="L118">
        <v>0.4</v>
      </c>
      <c r="P118">
        <v>111</v>
      </c>
      <c r="Q118" s="165">
        <v>0.4</v>
      </c>
    </row>
    <row r="119" spans="7:17" x14ac:dyDescent="0.25">
      <c r="G119" s="175">
        <v>112</v>
      </c>
      <c r="H119" s="173">
        <f t="shared" si="3"/>
        <v>0.4</v>
      </c>
      <c r="K119">
        <v>112</v>
      </c>
      <c r="L119">
        <v>0.4</v>
      </c>
      <c r="P119">
        <v>112</v>
      </c>
      <c r="Q119" s="165">
        <v>0.4</v>
      </c>
    </row>
    <row r="120" spans="7:17" x14ac:dyDescent="0.25">
      <c r="G120" s="175">
        <v>113</v>
      </c>
      <c r="H120" s="173">
        <f t="shared" si="3"/>
        <v>0.4</v>
      </c>
      <c r="K120">
        <v>113</v>
      </c>
      <c r="L120">
        <v>0.4</v>
      </c>
      <c r="P120">
        <v>113</v>
      </c>
      <c r="Q120" s="165">
        <v>0.4</v>
      </c>
    </row>
    <row r="121" spans="7:17" x14ac:dyDescent="0.25">
      <c r="G121" s="175">
        <v>114</v>
      </c>
      <c r="H121" s="173">
        <f t="shared" si="3"/>
        <v>0.4</v>
      </c>
      <c r="K121">
        <v>114</v>
      </c>
      <c r="L121">
        <v>0.4</v>
      </c>
      <c r="P121">
        <v>114</v>
      </c>
      <c r="Q121" s="165">
        <v>0.4</v>
      </c>
    </row>
    <row r="122" spans="7:17" x14ac:dyDescent="0.25">
      <c r="G122" s="175">
        <v>115</v>
      </c>
      <c r="H122" s="173">
        <f t="shared" si="3"/>
        <v>0.4</v>
      </c>
      <c r="K122">
        <v>115</v>
      </c>
      <c r="L122">
        <v>0.4</v>
      </c>
      <c r="P122">
        <v>115</v>
      </c>
      <c r="Q122" s="165">
        <v>0.4</v>
      </c>
    </row>
    <row r="123" spans="7:17" x14ac:dyDescent="0.25">
      <c r="G123" s="175">
        <v>116</v>
      </c>
      <c r="H123" s="173">
        <f t="shared" si="3"/>
        <v>0.4</v>
      </c>
      <c r="K123">
        <v>116</v>
      </c>
      <c r="L123">
        <v>0.4</v>
      </c>
      <c r="P123">
        <v>116</v>
      </c>
      <c r="Q123" s="165">
        <v>0.4</v>
      </c>
    </row>
    <row r="124" spans="7:17" x14ac:dyDescent="0.25">
      <c r="G124" s="175">
        <v>117</v>
      </c>
      <c r="H124" s="173">
        <f t="shared" si="3"/>
        <v>0.4</v>
      </c>
      <c r="K124">
        <v>117</v>
      </c>
      <c r="L124">
        <v>0.4</v>
      </c>
      <c r="P124">
        <v>117</v>
      </c>
      <c r="Q124" s="165">
        <v>0.4</v>
      </c>
    </row>
    <row r="125" spans="7:17" x14ac:dyDescent="0.25">
      <c r="G125" s="175">
        <v>118</v>
      </c>
      <c r="H125" s="173">
        <f t="shared" si="3"/>
        <v>0.4</v>
      </c>
      <c r="K125">
        <v>118</v>
      </c>
      <c r="L125">
        <v>0.4</v>
      </c>
      <c r="P125">
        <v>118</v>
      </c>
      <c r="Q125" s="165">
        <v>0.4</v>
      </c>
    </row>
    <row r="126" spans="7:17" x14ac:dyDescent="0.25">
      <c r="G126" s="175">
        <v>119</v>
      </c>
      <c r="H126" s="173">
        <f t="shared" si="3"/>
        <v>0.4</v>
      </c>
      <c r="K126">
        <v>119</v>
      </c>
      <c r="L126">
        <v>0.4</v>
      </c>
      <c r="P126">
        <v>119</v>
      </c>
      <c r="Q126" s="165">
        <v>0.4</v>
      </c>
    </row>
    <row r="127" spans="7:17" ht="15.75" thickBot="1" x14ac:dyDescent="0.3">
      <c r="G127" s="176">
        <v>120</v>
      </c>
      <c r="H127" s="174">
        <f t="shared" si="3"/>
        <v>1</v>
      </c>
      <c r="K127">
        <v>120</v>
      </c>
      <c r="L127">
        <v>1</v>
      </c>
      <c r="P127">
        <v>120</v>
      </c>
      <c r="Q127" s="165">
        <v>1</v>
      </c>
    </row>
  </sheetData>
  <hyperlinks>
    <hyperlink ref="L5" r:id="rId1"/>
    <hyperlink ref="Q5" r:id="rId2"/>
    <hyperlink ref="A2" location="'Read Me'!A1" display="Return to 'Read Me'"/>
    <hyperlink ref="A3" location="Summary!A1" display="Return to 'Summary'"/>
  </hyperlinks>
  <pageMargins left="0.7" right="0.7" top="0.75" bottom="0.75" header="0.3" footer="0.3"/>
  <pageSetup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3"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146</v>
      </c>
      <c r="I1" s="3">
        <v>5000</v>
      </c>
      <c r="J1" s="181" t="s">
        <v>173</v>
      </c>
      <c r="L1" s="1"/>
      <c r="M1" s="4"/>
      <c r="N1" s="4"/>
      <c r="O1" s="4"/>
      <c r="P1" s="4"/>
      <c r="Q1" s="64"/>
      <c r="R1" s="28"/>
    </row>
    <row r="2" spans="1:18" ht="15.75" customHeight="1" thickBot="1" x14ac:dyDescent="0.3">
      <c r="B2" t="s">
        <v>227</v>
      </c>
      <c r="C2">
        <v>10</v>
      </c>
      <c r="F2" s="5">
        <f>'Asset and Liability Durations'!N23</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6.5949138747706044</v>
      </c>
      <c r="N3" s="10"/>
      <c r="O3" s="10"/>
      <c r="P3" s="10"/>
      <c r="Q3" s="31"/>
      <c r="R3" s="32"/>
    </row>
    <row r="4" spans="1:18" x14ac:dyDescent="0.25">
      <c r="A4">
        <v>79</v>
      </c>
      <c r="B4">
        <v>0</v>
      </c>
      <c r="C4" s="8"/>
      <c r="D4" s="7"/>
      <c r="E4" s="7"/>
      <c r="F4" s="7"/>
      <c r="G4" s="10">
        <v>1</v>
      </c>
      <c r="J4" s="11">
        <f>(SUM(G5:$G$79)*$I$1)</f>
        <v>48149.415370963427</v>
      </c>
      <c r="Q4" s="65">
        <v>0</v>
      </c>
      <c r="R4" s="66">
        <f>Inputs!H7</f>
        <v>1.6050000000000001E-3</v>
      </c>
    </row>
    <row r="5" spans="1:18" ht="15.75" thickBot="1" x14ac:dyDescent="0.3">
      <c r="A5">
        <f>B5+$A$4</f>
        <v>80</v>
      </c>
      <c r="B5">
        <v>1</v>
      </c>
      <c r="C5" s="12">
        <f>VLOOKUP(A5,$Q$4:$R$124,2,FALSE)</f>
        <v>3.3234E-2</v>
      </c>
      <c r="D5" s="10">
        <f>1-C5</f>
        <v>0.96676600000000001</v>
      </c>
      <c r="E5" s="198">
        <f>IF(B5&lt;=$C$2,1,IF(B5=$C$2+1,PRODUCT($D$5:D5),E4*D5))</f>
        <v>1</v>
      </c>
      <c r="F5" s="10">
        <f t="shared" ref="F5:F45" si="0">IF(D5=0,0,(1+$F$2)^-B5)</f>
        <v>0.96153846153846145</v>
      </c>
      <c r="G5" s="10">
        <f>F5*E5</f>
        <v>0.96153846153846145</v>
      </c>
      <c r="I5" s="13">
        <f t="shared" ref="I5:I45" si="1">E5*$I$1</f>
        <v>5000</v>
      </c>
      <c r="J5" s="11">
        <f>(SUM(G6:$G$79)*$I$1)</f>
        <v>43341.723063271122</v>
      </c>
      <c r="K5" s="11">
        <f>J5-J4</f>
        <v>-4807.6923076923049</v>
      </c>
      <c r="L5" s="14" t="s">
        <v>16</v>
      </c>
      <c r="M5" s="14" t="s">
        <v>17</v>
      </c>
      <c r="N5" s="14" t="s">
        <v>18</v>
      </c>
      <c r="O5" s="14" t="s">
        <v>47</v>
      </c>
      <c r="Q5" s="65">
        <v>1</v>
      </c>
      <c r="R5" s="66">
        <f>Inputs!H8</f>
        <v>4.0099999999999999E-4</v>
      </c>
    </row>
    <row r="6" spans="1:18" x14ac:dyDescent="0.25">
      <c r="A6">
        <f t="shared" ref="A6:A45" si="2">B6+$A$4</f>
        <v>81</v>
      </c>
      <c r="B6">
        <v>2</v>
      </c>
      <c r="C6" s="12">
        <f t="shared" ref="C6:C45" si="3">VLOOKUP(A6,$Q$4:$R$124,2,FALSE)</f>
        <v>3.7532999999999997E-2</v>
      </c>
      <c r="D6" s="10">
        <f t="shared" ref="D6:D45" si="4">1-C6</f>
        <v>0.96246699999999996</v>
      </c>
      <c r="E6" s="198">
        <f>IF(B6&lt;=$C$2,1,IF(B6=$C$2+1,PRODUCT($D$5:D6),E5*D6))</f>
        <v>1</v>
      </c>
      <c r="F6" s="10">
        <f t="shared" si="0"/>
        <v>0.92455621301775137</v>
      </c>
      <c r="G6" s="10">
        <f t="shared" ref="G6:G45" si="5">F6*E6</f>
        <v>0.92455621301775137</v>
      </c>
      <c r="I6" s="13">
        <f t="shared" si="1"/>
        <v>5000</v>
      </c>
      <c r="J6" s="11">
        <f>(SUM(G7:$G$79)*$I$1)</f>
        <v>38718.941998182367</v>
      </c>
      <c r="K6" s="11">
        <f t="shared" ref="K6:K45" si="6">J6-J5</f>
        <v>-4622.781065088755</v>
      </c>
      <c r="L6" s="14">
        <v>2</v>
      </c>
      <c r="M6" s="54" t="s">
        <v>44</v>
      </c>
      <c r="N6" s="15">
        <f>SUM(I5:I7)</f>
        <v>15000</v>
      </c>
      <c r="O6" s="16">
        <f>N6/SUM($N$6:$N$9)</f>
        <v>0.23682304498751583</v>
      </c>
      <c r="Q6" s="65">
        <v>2</v>
      </c>
      <c r="R6" s="66">
        <f>Inputs!H9</f>
        <v>2.7500000000000002E-4</v>
      </c>
    </row>
    <row r="7" spans="1:18" x14ac:dyDescent="0.25">
      <c r="A7">
        <f t="shared" si="2"/>
        <v>82</v>
      </c>
      <c r="B7">
        <v>3</v>
      </c>
      <c r="C7" s="12">
        <f t="shared" si="3"/>
        <v>4.2261E-2</v>
      </c>
      <c r="D7" s="10">
        <f t="shared" si="4"/>
        <v>0.95773900000000001</v>
      </c>
      <c r="E7" s="198">
        <f>IF(B7&lt;=$C$2,1,IF(B7=$C$2+1,PRODUCT($D$5:D7),E6*D7))</f>
        <v>1</v>
      </c>
      <c r="F7" s="10">
        <f t="shared" si="0"/>
        <v>0.88899635867091487</v>
      </c>
      <c r="G7" s="10">
        <f t="shared" si="5"/>
        <v>0.88899635867091487</v>
      </c>
      <c r="I7" s="13">
        <f t="shared" si="1"/>
        <v>5000</v>
      </c>
      <c r="J7" s="11">
        <f>(SUM(G8:$G$79)*$I$1)</f>
        <v>34273.960204827796</v>
      </c>
      <c r="K7" s="11">
        <f t="shared" si="6"/>
        <v>-4444.981793354571</v>
      </c>
      <c r="L7" s="14">
        <v>5</v>
      </c>
      <c r="M7" s="19" t="s">
        <v>45</v>
      </c>
      <c r="N7" s="17">
        <f>SUM(I8:I11)</f>
        <v>20000</v>
      </c>
      <c r="O7" s="18">
        <f>N7/SUM($N$6:$N$9)</f>
        <v>0.31576405998335444</v>
      </c>
      <c r="Q7" s="65">
        <v>3</v>
      </c>
      <c r="R7" s="66">
        <f>Inputs!H10</f>
        <v>2.2900000000000001E-4</v>
      </c>
    </row>
    <row r="8" spans="1:18" x14ac:dyDescent="0.25">
      <c r="A8">
        <f t="shared" si="2"/>
        <v>83</v>
      </c>
      <c r="B8">
        <v>4</v>
      </c>
      <c r="C8" s="12">
        <f t="shared" si="3"/>
        <v>4.7440999999999997E-2</v>
      </c>
      <c r="D8" s="10">
        <f t="shared" si="4"/>
        <v>0.95255900000000004</v>
      </c>
      <c r="E8" s="198">
        <f>IF(B8&lt;=$C$2,1,IF(B8=$C$2+1,PRODUCT($D$5:D8),E7*D8))</f>
        <v>1</v>
      </c>
      <c r="F8" s="10">
        <f t="shared" si="0"/>
        <v>0.85480419102972571</v>
      </c>
      <c r="G8" s="10">
        <f>F8*E8</f>
        <v>0.85480419102972571</v>
      </c>
      <c r="I8" s="13">
        <f t="shared" si="1"/>
        <v>5000</v>
      </c>
      <c r="J8" s="11">
        <f>(SUM(G9:$G$79)*$I$1)</f>
        <v>29999.93924967917</v>
      </c>
      <c r="K8" s="11">
        <f t="shared" si="6"/>
        <v>-4274.0209551486259</v>
      </c>
      <c r="L8" s="14">
        <v>10</v>
      </c>
      <c r="M8" s="19" t="s">
        <v>46</v>
      </c>
      <c r="N8" s="17">
        <f>SUM(I12:I19)</f>
        <v>24092.927149077892</v>
      </c>
      <c r="O8" s="18">
        <f>N8/SUM($N$6:$N$9)</f>
        <v>0.380384024673801</v>
      </c>
      <c r="Q8" s="65">
        <v>4</v>
      </c>
      <c r="R8" s="66">
        <f>Inputs!H11</f>
        <v>1.74E-4</v>
      </c>
    </row>
    <row r="9" spans="1:18" ht="15.75" thickBot="1" x14ac:dyDescent="0.3">
      <c r="A9">
        <f t="shared" si="2"/>
        <v>84</v>
      </c>
      <c r="B9">
        <v>5</v>
      </c>
      <c r="C9" s="12">
        <f t="shared" si="3"/>
        <v>5.3233000000000003E-2</v>
      </c>
      <c r="D9" s="10">
        <f t="shared" si="4"/>
        <v>0.94676700000000003</v>
      </c>
      <c r="E9" s="198">
        <f>IF(B9&lt;=$C$2,1,IF(B9=$C$2+1,PRODUCT($D$5:D9),E8*D9))</f>
        <v>1</v>
      </c>
      <c r="F9" s="10">
        <f t="shared" si="0"/>
        <v>0.82192710675935154</v>
      </c>
      <c r="G9" s="10">
        <f t="shared" si="5"/>
        <v>0.82192710675935154</v>
      </c>
      <c r="I9" s="13">
        <f t="shared" si="1"/>
        <v>5000</v>
      </c>
      <c r="J9" s="11">
        <f>(SUM(G10:$G$79)*$I$1)</f>
        <v>25890.303715882405</v>
      </c>
      <c r="K9" s="11">
        <f t="shared" si="6"/>
        <v>-4109.6355337967652</v>
      </c>
      <c r="L9" s="14">
        <v>30</v>
      </c>
      <c r="M9" s="20" t="s">
        <v>48</v>
      </c>
      <c r="N9" s="21">
        <f>SUM(I20:I70)</f>
        <v>4245.5034533608459</v>
      </c>
      <c r="O9" s="22">
        <f>N9/SUM($N$6:$N$9)</f>
        <v>6.7028870355328632E-2</v>
      </c>
      <c r="Q9" s="65">
        <v>5</v>
      </c>
      <c r="R9" s="66">
        <f>Inputs!H12</f>
        <v>1.6799999999999999E-4</v>
      </c>
    </row>
    <row r="10" spans="1:18" x14ac:dyDescent="0.25">
      <c r="A10">
        <f t="shared" si="2"/>
        <v>85</v>
      </c>
      <c r="B10">
        <v>6</v>
      </c>
      <c r="C10" s="12">
        <f t="shared" si="3"/>
        <v>5.9854999999999998E-2</v>
      </c>
      <c r="D10" s="10">
        <f t="shared" si="4"/>
        <v>0.94014500000000001</v>
      </c>
      <c r="E10" s="198">
        <f>IF(B10&lt;=$C$2,1,IF(B10=$C$2+1,PRODUCT($D$5:D10),E9*D10))</f>
        <v>1</v>
      </c>
      <c r="F10" s="10">
        <f t="shared" si="0"/>
        <v>0.79031452573014571</v>
      </c>
      <c r="G10" s="10">
        <f t="shared" si="5"/>
        <v>0.79031452573014571</v>
      </c>
      <c r="I10" s="13">
        <f t="shared" si="1"/>
        <v>5000</v>
      </c>
      <c r="J10" s="11">
        <f>(SUM(G11:$G$79)*$I$1)</f>
        <v>21938.731087231678</v>
      </c>
      <c r="K10" s="11">
        <f t="shared" si="6"/>
        <v>-3951.572628650727</v>
      </c>
      <c r="L10" s="53">
        <f>+SUMPRODUCT(L6:L9,O6:O9)</f>
        <v>7.8671727472896729</v>
      </c>
      <c r="O10" s="23">
        <f>SUM(O6:O9)</f>
        <v>0.99999999999999989</v>
      </c>
      <c r="Q10" s="65">
        <v>6</v>
      </c>
      <c r="R10" s="66">
        <f>Inputs!H13</f>
        <v>1.65E-4</v>
      </c>
    </row>
    <row r="11" spans="1:18" x14ac:dyDescent="0.25">
      <c r="A11">
        <f t="shared" si="2"/>
        <v>86</v>
      </c>
      <c r="B11">
        <v>7</v>
      </c>
      <c r="C11" s="12">
        <f t="shared" si="3"/>
        <v>6.7514000000000005E-2</v>
      </c>
      <c r="D11" s="10">
        <f t="shared" si="4"/>
        <v>0.93248600000000004</v>
      </c>
      <c r="E11" s="198">
        <f>IF(B11&lt;=$C$2,1,IF(B11=$C$2+1,PRODUCT($D$5:D11),E10*D11))</f>
        <v>1</v>
      </c>
      <c r="F11" s="10">
        <f t="shared" si="0"/>
        <v>0.75991781320206331</v>
      </c>
      <c r="G11" s="10">
        <f t="shared" si="5"/>
        <v>0.75991781320206331</v>
      </c>
      <c r="I11" s="13">
        <f t="shared" si="1"/>
        <v>5000</v>
      </c>
      <c r="J11" s="11">
        <f>(SUM(G12:$G$79)*$I$1)</f>
        <v>18139.142021221356</v>
      </c>
      <c r="K11" s="11">
        <f t="shared" si="6"/>
        <v>-3799.5890660103214</v>
      </c>
      <c r="Q11" s="65">
        <v>7</v>
      </c>
      <c r="R11" s="66">
        <f>Inputs!H14</f>
        <v>1.5899999999999999E-4</v>
      </c>
    </row>
    <row r="12" spans="1:18" x14ac:dyDescent="0.25">
      <c r="A12">
        <f t="shared" si="2"/>
        <v>87</v>
      </c>
      <c r="B12">
        <v>8</v>
      </c>
      <c r="C12" s="12">
        <f t="shared" si="3"/>
        <v>7.6340000000000005E-2</v>
      </c>
      <c r="D12" s="10">
        <f t="shared" si="4"/>
        <v>0.92366000000000004</v>
      </c>
      <c r="E12" s="198">
        <f>IF(B12&lt;=$C$2,1,IF(B12=$C$2+1,PRODUCT($D$5:D12),E11*D12))</f>
        <v>1</v>
      </c>
      <c r="F12" s="10">
        <f t="shared" si="0"/>
        <v>0.73069020500198378</v>
      </c>
      <c r="G12" s="10">
        <f t="shared" si="5"/>
        <v>0.73069020500198378</v>
      </c>
      <c r="I12" s="13">
        <f t="shared" si="1"/>
        <v>5000</v>
      </c>
      <c r="J12" s="11">
        <f>(SUM(G13:$G$79)*$I$1)</f>
        <v>14485.690996211437</v>
      </c>
      <c r="K12" s="11">
        <f t="shared" si="6"/>
        <v>-3653.4510250099192</v>
      </c>
      <c r="Q12" s="65">
        <v>8</v>
      </c>
      <c r="R12" s="66">
        <f>Inputs!H15</f>
        <v>1.4300000000000001E-4</v>
      </c>
    </row>
    <row r="13" spans="1:18" x14ac:dyDescent="0.25">
      <c r="A13">
        <f t="shared" si="2"/>
        <v>88</v>
      </c>
      <c r="B13">
        <v>9</v>
      </c>
      <c r="C13" s="12">
        <f t="shared" si="3"/>
        <v>8.6388000000000006E-2</v>
      </c>
      <c r="D13" s="10">
        <f t="shared" si="4"/>
        <v>0.91361199999999998</v>
      </c>
      <c r="E13" s="198">
        <f>IF(B13&lt;=$C$2,1,IF(B13=$C$2+1,PRODUCT($D$5:D13),E12*D13))</f>
        <v>1</v>
      </c>
      <c r="F13" s="10">
        <f t="shared" si="0"/>
        <v>0.70258673557883045</v>
      </c>
      <c r="G13" s="10">
        <f t="shared" si="5"/>
        <v>0.70258673557883045</v>
      </c>
      <c r="I13" s="13">
        <f t="shared" si="1"/>
        <v>5000</v>
      </c>
      <c r="J13" s="11">
        <f>(SUM(G14:$G$79)*$I$1)</f>
        <v>10972.757318317283</v>
      </c>
      <c r="K13" s="11">
        <f t="shared" si="6"/>
        <v>-3512.9336778941542</v>
      </c>
      <c r="Q13" s="65">
        <v>9</v>
      </c>
      <c r="R13" s="66">
        <f>Inputs!H16</f>
        <v>1.2899999999999999E-4</v>
      </c>
    </row>
    <row r="14" spans="1:18" x14ac:dyDescent="0.25">
      <c r="A14">
        <f t="shared" si="2"/>
        <v>89</v>
      </c>
      <c r="B14">
        <v>10</v>
      </c>
      <c r="C14" s="12">
        <f t="shared" si="3"/>
        <v>9.7633999999999999E-2</v>
      </c>
      <c r="D14" s="10">
        <f t="shared" si="4"/>
        <v>0.902366</v>
      </c>
      <c r="E14" s="198">
        <f>IF(B14&lt;=$C$2,1,IF(B14=$C$2+1,PRODUCT($D$5:D14),E13*D14))</f>
        <v>1</v>
      </c>
      <c r="F14" s="10">
        <f t="shared" si="0"/>
        <v>0.67556416882579851</v>
      </c>
      <c r="G14" s="10">
        <f t="shared" si="5"/>
        <v>0.67556416882579851</v>
      </c>
      <c r="I14" s="13">
        <f t="shared" si="1"/>
        <v>5000</v>
      </c>
      <c r="J14" s="11">
        <f>(SUM(G15:$G$79)*$I$1)</f>
        <v>7594.936474188291</v>
      </c>
      <c r="K14" s="11">
        <f t="shared" si="6"/>
        <v>-3377.8208441289917</v>
      </c>
      <c r="Q14" s="65">
        <v>10</v>
      </c>
      <c r="R14" s="66">
        <f>Inputs!H17</f>
        <v>1.13E-4</v>
      </c>
    </row>
    <row r="15" spans="1:18" x14ac:dyDescent="0.25">
      <c r="A15">
        <f t="shared" si="2"/>
        <v>90</v>
      </c>
      <c r="B15">
        <v>11</v>
      </c>
      <c r="C15" s="12">
        <f t="shared" si="3"/>
        <v>0.10999299999999999</v>
      </c>
      <c r="D15" s="10">
        <f t="shared" si="4"/>
        <v>0.89000699999999999</v>
      </c>
      <c r="E15" s="198">
        <f>IF(B15&lt;=$C$2,1,IF(B15=$C$2+1,PRODUCT($D$5:D15),E14*D15))</f>
        <v>0.47750357107328312</v>
      </c>
      <c r="F15" s="10">
        <f t="shared" si="0"/>
        <v>0.6495809315632679</v>
      </c>
      <c r="G15" s="10">
        <f t="shared" si="5"/>
        <v>0.31017721452257035</v>
      </c>
      <c r="I15" s="13">
        <f t="shared" si="1"/>
        <v>2387.5178553664155</v>
      </c>
      <c r="J15" s="11">
        <f>(SUM(G16:$G$79)*$I$1)</f>
        <v>6044.0504015754395</v>
      </c>
      <c r="K15" s="11">
        <f t="shared" si="6"/>
        <v>-1550.8860726128514</v>
      </c>
      <c r="Q15" s="65">
        <v>11</v>
      </c>
      <c r="R15" s="66">
        <f>Inputs!H18</f>
        <v>1.11E-4</v>
      </c>
    </row>
    <row r="16" spans="1:18" x14ac:dyDescent="0.25">
      <c r="A16">
        <f t="shared" si="2"/>
        <v>91</v>
      </c>
      <c r="B16">
        <v>12</v>
      </c>
      <c r="C16" s="12">
        <f t="shared" si="3"/>
        <v>0.12311900000000001</v>
      </c>
      <c r="D16" s="10">
        <f t="shared" si="4"/>
        <v>0.87688100000000002</v>
      </c>
      <c r="E16" s="198">
        <f>IF(B16&lt;=$C$2,1,IF(B16=$C$2+1,PRODUCT($D$5:D16),E15*D16))</f>
        <v>0.4187138089063116</v>
      </c>
      <c r="F16" s="10">
        <f t="shared" si="0"/>
        <v>0.62459704958006512</v>
      </c>
      <c r="G16" s="10">
        <f t="shared" si="5"/>
        <v>0.26152740966131344</v>
      </c>
      <c r="I16" s="13">
        <f t="shared" si="1"/>
        <v>2093.5690445315581</v>
      </c>
      <c r="J16" s="11">
        <f>(SUM(G17:$G$79)*$I$1)</f>
        <v>4736.413353268872</v>
      </c>
      <c r="K16" s="11">
        <f t="shared" si="6"/>
        <v>-1307.6370483065675</v>
      </c>
      <c r="Q16" s="65">
        <v>12</v>
      </c>
      <c r="R16" s="66">
        <f>Inputs!H19</f>
        <v>1.3200000000000001E-4</v>
      </c>
    </row>
    <row r="17" spans="1:18" x14ac:dyDescent="0.25">
      <c r="A17">
        <f t="shared" si="2"/>
        <v>92</v>
      </c>
      <c r="B17">
        <v>13</v>
      </c>
      <c r="C17" s="12">
        <f t="shared" si="3"/>
        <v>0.13716800000000001</v>
      </c>
      <c r="D17" s="10">
        <f t="shared" si="4"/>
        <v>0.86283200000000004</v>
      </c>
      <c r="E17" s="198">
        <f>IF(B17&lt;=$C$2,1,IF(B17=$C$2+1,PRODUCT($D$5:D17),E16*D17))</f>
        <v>0.36127967316625065</v>
      </c>
      <c r="F17" s="10">
        <f t="shared" si="0"/>
        <v>0.600574086134678</v>
      </c>
      <c r="G17" s="10">
        <f t="shared" si="5"/>
        <v>0.21697520955085614</v>
      </c>
      <c r="I17" s="13">
        <f t="shared" si="1"/>
        <v>1806.3983658312532</v>
      </c>
      <c r="J17" s="11">
        <f>(SUM(G18:$G$79)*$I$1)</f>
        <v>3651.5373055145915</v>
      </c>
      <c r="K17" s="11">
        <f t="shared" si="6"/>
        <v>-1084.8760477542805</v>
      </c>
      <c r="Q17" s="65">
        <v>13</v>
      </c>
      <c r="R17" s="66">
        <f>Inputs!H20</f>
        <v>1.6899999999999999E-4</v>
      </c>
    </row>
    <row r="18" spans="1:18" x14ac:dyDescent="0.25">
      <c r="A18">
        <f t="shared" si="2"/>
        <v>93</v>
      </c>
      <c r="B18">
        <v>14</v>
      </c>
      <c r="C18" s="12">
        <f t="shared" si="3"/>
        <v>0.152171</v>
      </c>
      <c r="D18" s="10">
        <f t="shared" si="4"/>
        <v>0.84782899999999994</v>
      </c>
      <c r="E18" s="198">
        <f>IF(B18&lt;=$C$2,1,IF(B18=$C$2+1,PRODUCT($D$5:D18),E17*D18))</f>
        <v>0.3063033840208691</v>
      </c>
      <c r="F18" s="10">
        <f t="shared" si="0"/>
        <v>0.57747508282180582</v>
      </c>
      <c r="G18" s="10">
        <f t="shared" si="5"/>
        <v>0.17688257205605076</v>
      </c>
      <c r="I18" s="13">
        <f t="shared" si="1"/>
        <v>1531.5169201043454</v>
      </c>
      <c r="J18" s="11">
        <f>(SUM(G19:$G$79)*$I$1)</f>
        <v>2767.1244452343381</v>
      </c>
      <c r="K18" s="11">
        <f t="shared" si="6"/>
        <v>-884.41286028025343</v>
      </c>
      <c r="Q18" s="65">
        <v>14</v>
      </c>
      <c r="R18" s="66">
        <f>Inputs!H21</f>
        <v>2.13E-4</v>
      </c>
    </row>
    <row r="19" spans="1:18" x14ac:dyDescent="0.25">
      <c r="A19">
        <f t="shared" si="2"/>
        <v>94</v>
      </c>
      <c r="B19">
        <v>15</v>
      </c>
      <c r="C19" s="12">
        <f t="shared" si="3"/>
        <v>0.16819400000000001</v>
      </c>
      <c r="D19" s="10">
        <f t="shared" si="4"/>
        <v>0.83180600000000005</v>
      </c>
      <c r="E19" s="198">
        <f>IF(B19&lt;=$C$2,1,IF(B19=$C$2+1,PRODUCT($D$5:D19),E18*D19))</f>
        <v>0.25478499264886306</v>
      </c>
      <c r="F19" s="10">
        <f t="shared" si="0"/>
        <v>0.55526450271327477</v>
      </c>
      <c r="G19" s="10">
        <f t="shared" si="5"/>
        <v>0.14147306224197631</v>
      </c>
      <c r="I19" s="13">
        <f t="shared" si="1"/>
        <v>1273.9249632443152</v>
      </c>
      <c r="J19" s="11">
        <f>(SUM(G20:$G$79)*$I$1)</f>
        <v>2059.7591340244558</v>
      </c>
      <c r="K19" s="11">
        <f t="shared" si="6"/>
        <v>-707.36531120988229</v>
      </c>
      <c r="Q19" s="65">
        <v>15</v>
      </c>
      <c r="R19" s="66">
        <f>Inputs!H22</f>
        <v>2.5399999999999999E-4</v>
      </c>
    </row>
    <row r="20" spans="1:18" x14ac:dyDescent="0.25">
      <c r="A20">
        <f t="shared" si="2"/>
        <v>95</v>
      </c>
      <c r="B20">
        <v>16</v>
      </c>
      <c r="C20" s="12">
        <f t="shared" si="3"/>
        <v>0.18526000000000001</v>
      </c>
      <c r="D20" s="10">
        <f t="shared" si="4"/>
        <v>0.81474000000000002</v>
      </c>
      <c r="E20" s="198">
        <f>IF(B20&lt;=$C$2,1,IF(B20=$C$2+1,PRODUCT($D$5:D20),E19*D20))</f>
        <v>0.2075835249107347</v>
      </c>
      <c r="F20" s="10">
        <f t="shared" si="0"/>
        <v>0.53390817568584104</v>
      </c>
      <c r="G20" s="10">
        <f t="shared" si="5"/>
        <v>0.1108305410875267</v>
      </c>
      <c r="I20" s="13">
        <f t="shared" si="1"/>
        <v>1037.9176245536735</v>
      </c>
      <c r="J20" s="11">
        <f>(SUM(G21:$G$79)*$I$1)</f>
        <v>1505.6064285868224</v>
      </c>
      <c r="K20" s="11">
        <f t="shared" si="6"/>
        <v>-554.15270543763336</v>
      </c>
      <c r="Q20" s="65">
        <v>16</v>
      </c>
      <c r="R20" s="66">
        <f>Inputs!H23</f>
        <v>2.9300000000000002E-4</v>
      </c>
    </row>
    <row r="21" spans="1:18" x14ac:dyDescent="0.25">
      <c r="A21">
        <f t="shared" si="2"/>
        <v>96</v>
      </c>
      <c r="B21">
        <v>17</v>
      </c>
      <c r="C21" s="12">
        <f t="shared" si="3"/>
        <v>0.197322</v>
      </c>
      <c r="D21" s="10">
        <f t="shared" si="4"/>
        <v>0.802678</v>
      </c>
      <c r="E21" s="198">
        <f>IF(B21&lt;=$C$2,1,IF(B21=$C$2+1,PRODUCT($D$5:D21),E20*D21))</f>
        <v>0.16662272860829871</v>
      </c>
      <c r="F21" s="10">
        <f t="shared" si="0"/>
        <v>0.51337324585177024</v>
      </c>
      <c r="G21" s="10">
        <f t="shared" si="5"/>
        <v>8.5539651018320922E-2</v>
      </c>
      <c r="I21" s="13">
        <f t="shared" si="1"/>
        <v>833.11364304149356</v>
      </c>
      <c r="J21" s="11">
        <f>(SUM(G22:$G$79)*$I$1)</f>
        <v>1077.9081734952174</v>
      </c>
      <c r="K21" s="11">
        <f t="shared" si="6"/>
        <v>-427.69825509160501</v>
      </c>
      <c r="Q21" s="65">
        <v>17</v>
      </c>
      <c r="R21" s="66">
        <f>Inputs!H24</f>
        <v>3.28E-4</v>
      </c>
    </row>
    <row r="22" spans="1:18" x14ac:dyDescent="0.25">
      <c r="A22">
        <f t="shared" si="2"/>
        <v>97</v>
      </c>
      <c r="B22">
        <v>18</v>
      </c>
      <c r="C22" s="12">
        <f t="shared" si="3"/>
        <v>0.214751</v>
      </c>
      <c r="D22" s="10">
        <f t="shared" si="4"/>
        <v>0.78524899999999997</v>
      </c>
      <c r="E22" s="198">
        <f>IF(B22&lt;=$C$2,1,IF(B22=$C$2+1,PRODUCT($D$5:D22),E21*D22))</f>
        <v>0.13084033101693796</v>
      </c>
      <c r="F22" s="10">
        <f t="shared" si="0"/>
        <v>0.49362812101131748</v>
      </c>
      <c r="G22" s="10">
        <f t="shared" si="5"/>
        <v>6.4586466752389882E-2</v>
      </c>
      <c r="I22" s="13">
        <f t="shared" si="1"/>
        <v>654.20165508468983</v>
      </c>
      <c r="J22" s="11">
        <f>(SUM(G23:$G$79)*$I$1)</f>
        <v>754.97583973326812</v>
      </c>
      <c r="K22" s="11">
        <f t="shared" si="6"/>
        <v>-322.93233376194928</v>
      </c>
      <c r="Q22" s="65">
        <v>18</v>
      </c>
      <c r="R22" s="66">
        <f>Inputs!H25</f>
        <v>3.59E-4</v>
      </c>
    </row>
    <row r="23" spans="1:18" x14ac:dyDescent="0.25">
      <c r="A23">
        <f t="shared" si="2"/>
        <v>98</v>
      </c>
      <c r="B23">
        <v>19</v>
      </c>
      <c r="C23" s="12">
        <f t="shared" si="3"/>
        <v>0.23250699999999999</v>
      </c>
      <c r="D23" s="10">
        <f t="shared" si="4"/>
        <v>0.76749299999999998</v>
      </c>
      <c r="E23" s="198">
        <f>IF(B23&lt;=$C$2,1,IF(B23=$C$2+1,PRODUCT($D$5:D23),E22*D23))</f>
        <v>0.10041903817318276</v>
      </c>
      <c r="F23" s="10">
        <f t="shared" si="0"/>
        <v>0.47464242404934376</v>
      </c>
      <c r="G23" s="10">
        <f t="shared" si="5"/>
        <v>4.766313569922305E-2</v>
      </c>
      <c r="I23" s="13">
        <f t="shared" si="1"/>
        <v>502.09519086591382</v>
      </c>
      <c r="J23" s="11">
        <f>(SUM(G24:$G$79)*$I$1)</f>
        <v>516.66016123715292</v>
      </c>
      <c r="K23" s="11">
        <f t="shared" si="6"/>
        <v>-238.3156784961152</v>
      </c>
      <c r="Q23" s="65">
        <v>19</v>
      </c>
      <c r="R23" s="66">
        <f>Inputs!H26</f>
        <v>3.8699999999999997E-4</v>
      </c>
    </row>
    <row r="24" spans="1:18" x14ac:dyDescent="0.25">
      <c r="A24">
        <f t="shared" si="2"/>
        <v>99</v>
      </c>
      <c r="B24">
        <v>20</v>
      </c>
      <c r="C24" s="12">
        <f t="shared" si="3"/>
        <v>0.25039699999999998</v>
      </c>
      <c r="D24" s="10">
        <f t="shared" si="4"/>
        <v>0.74960300000000002</v>
      </c>
      <c r="E24" s="198">
        <f>IF(B24&lt;=$C$2,1,IF(B24=$C$2+1,PRODUCT($D$5:D24),E23*D24))</f>
        <v>7.5274412271732316E-2</v>
      </c>
      <c r="F24" s="10">
        <f t="shared" si="0"/>
        <v>0.45638694620129205</v>
      </c>
      <c r="G24" s="10">
        <f t="shared" si="5"/>
        <v>3.4354259143792976E-2</v>
      </c>
      <c r="I24" s="13">
        <f t="shared" si="1"/>
        <v>376.3720613586616</v>
      </c>
      <c r="J24" s="11">
        <f>(SUM(G25:$G$79)*$I$1)</f>
        <v>344.88886551818808</v>
      </c>
      <c r="K24" s="11">
        <f t="shared" si="6"/>
        <v>-171.77129571896484</v>
      </c>
      <c r="Q24" s="65">
        <v>20</v>
      </c>
      <c r="R24" s="66">
        <f>Inputs!H27</f>
        <v>4.1399999999999998E-4</v>
      </c>
    </row>
    <row r="25" spans="1:18" x14ac:dyDescent="0.25">
      <c r="A25">
        <f t="shared" si="2"/>
        <v>100</v>
      </c>
      <c r="B25">
        <v>21</v>
      </c>
      <c r="C25" s="12">
        <f t="shared" si="3"/>
        <v>0.26860699999999998</v>
      </c>
      <c r="D25" s="10">
        <f t="shared" si="4"/>
        <v>0.73139299999999996</v>
      </c>
      <c r="E25" s="198">
        <f>IF(B25&lt;=$C$2,1,IF(B25=$C$2+1,PRODUCT($D$5:D25),E24*D25))</f>
        <v>5.5055178214659113E-2</v>
      </c>
      <c r="F25" s="10">
        <f t="shared" si="0"/>
        <v>0.43883360211662686</v>
      </c>
      <c r="G25" s="10">
        <f t="shared" si="5"/>
        <v>2.4160062171111701E-2</v>
      </c>
      <c r="I25" s="13">
        <f t="shared" si="1"/>
        <v>275.27589107329555</v>
      </c>
      <c r="J25" s="11">
        <f>(SUM(G26:$G$79)*$I$1)</f>
        <v>224.08855466262943</v>
      </c>
      <c r="K25" s="11">
        <f t="shared" si="6"/>
        <v>-120.80031085555865</v>
      </c>
      <c r="Q25" s="65">
        <v>21</v>
      </c>
      <c r="R25" s="66">
        <f>Inputs!H28</f>
        <v>4.4299999999999998E-4</v>
      </c>
    </row>
    <row r="26" spans="1:18" x14ac:dyDescent="0.25">
      <c r="A26">
        <f t="shared" si="2"/>
        <v>101</v>
      </c>
      <c r="B26">
        <v>22</v>
      </c>
      <c r="C26" s="12">
        <f t="shared" si="3"/>
        <v>0.290016</v>
      </c>
      <c r="D26" s="10">
        <f t="shared" si="4"/>
        <v>0.70998399999999995</v>
      </c>
      <c r="E26" s="198">
        <f>IF(B26&lt;=$C$2,1,IF(B26=$C$2+1,PRODUCT($D$5:D26),E25*D26))</f>
        <v>3.9088295649556536E-2</v>
      </c>
      <c r="F26" s="10">
        <f t="shared" si="0"/>
        <v>0.42195538665060278</v>
      </c>
      <c r="G26" s="10">
        <f t="shared" si="5"/>
        <v>1.6493516904321704E-2</v>
      </c>
      <c r="I26" s="13">
        <f t="shared" si="1"/>
        <v>195.44147824778267</v>
      </c>
      <c r="J26" s="11">
        <f>(SUM(G27:$G$79)*$I$1)</f>
        <v>141.62097014102099</v>
      </c>
      <c r="K26" s="11">
        <f t="shared" si="6"/>
        <v>-82.467584521608444</v>
      </c>
      <c r="Q26" s="65">
        <v>22</v>
      </c>
      <c r="R26" s="66">
        <f>Inputs!H29</f>
        <v>4.73E-4</v>
      </c>
    </row>
    <row r="27" spans="1:18" x14ac:dyDescent="0.25">
      <c r="A27">
        <f t="shared" si="2"/>
        <v>102</v>
      </c>
      <c r="B27">
        <v>23</v>
      </c>
      <c r="C27" s="12">
        <f t="shared" si="3"/>
        <v>0.31184899999999999</v>
      </c>
      <c r="D27" s="10">
        <f t="shared" si="4"/>
        <v>0.68815099999999996</v>
      </c>
      <c r="E27" s="198">
        <f>IF(B27&lt;=$C$2,1,IF(B27=$C$2+1,PRODUCT($D$5:D27),E26*D27))</f>
        <v>2.6898649739537976E-2</v>
      </c>
      <c r="F27" s="10">
        <f t="shared" si="0"/>
        <v>0.40572633331788732</v>
      </c>
      <c r="G27" s="10">
        <f t="shared" si="5"/>
        <v>1.0913490530024888E-2</v>
      </c>
      <c r="I27" s="13">
        <f t="shared" si="1"/>
        <v>134.49324869768989</v>
      </c>
      <c r="J27" s="11">
        <f>(SUM(G28:$G$79)*$I$1)</f>
        <v>87.053517490896553</v>
      </c>
      <c r="K27" s="11">
        <f t="shared" si="6"/>
        <v>-54.567452650124437</v>
      </c>
      <c r="Q27" s="65">
        <v>23</v>
      </c>
      <c r="R27" s="66">
        <f>Inputs!H30</f>
        <v>5.13E-4</v>
      </c>
    </row>
    <row r="28" spans="1:18" x14ac:dyDescent="0.25">
      <c r="A28">
        <f t="shared" si="2"/>
        <v>103</v>
      </c>
      <c r="B28">
        <v>24</v>
      </c>
      <c r="C28" s="12">
        <f t="shared" si="3"/>
        <v>0.33396199999999998</v>
      </c>
      <c r="D28" s="10">
        <f t="shared" si="4"/>
        <v>0.66603800000000002</v>
      </c>
      <c r="E28" s="198">
        <f>IF(B28&lt;=$C$2,1,IF(B28=$C$2+1,PRODUCT($D$5:D28),E27*D28))</f>
        <v>1.7915522875222394E-2</v>
      </c>
      <c r="F28" s="10">
        <f t="shared" si="0"/>
        <v>0.39012147434412242</v>
      </c>
      <c r="G28" s="10">
        <f t="shared" si="5"/>
        <v>6.989230197727612E-3</v>
      </c>
      <c r="I28" s="13">
        <f t="shared" si="1"/>
        <v>89.577614376111967</v>
      </c>
      <c r="J28" s="11">
        <f>(SUM(G29:$G$79)*$I$1)</f>
        <v>52.107366502258479</v>
      </c>
      <c r="K28" s="11">
        <f t="shared" si="6"/>
        <v>-34.946150988638074</v>
      </c>
      <c r="Q28" s="65">
        <v>24</v>
      </c>
      <c r="R28" s="66">
        <f>Inputs!H31</f>
        <v>5.5400000000000002E-4</v>
      </c>
    </row>
    <row r="29" spans="1:18" x14ac:dyDescent="0.25">
      <c r="A29">
        <f t="shared" si="2"/>
        <v>104</v>
      </c>
      <c r="B29">
        <v>25</v>
      </c>
      <c r="C29" s="12">
        <f t="shared" si="3"/>
        <v>0.356207</v>
      </c>
      <c r="D29" s="10">
        <f t="shared" si="4"/>
        <v>0.64379300000000006</v>
      </c>
      <c r="E29" s="198">
        <f>IF(B29&lt;=$C$2,1,IF(B29=$C$2+1,PRODUCT($D$5:D29),E28*D29))</f>
        <v>1.1533888218408051E-2</v>
      </c>
      <c r="F29" s="10">
        <f t="shared" si="0"/>
        <v>0.37511680225396377</v>
      </c>
      <c r="G29" s="10">
        <f t="shared" si="5"/>
        <v>4.3265552660438954E-3</v>
      </c>
      <c r="I29" s="13">
        <f t="shared" si="1"/>
        <v>57.669441092040259</v>
      </c>
      <c r="J29" s="11">
        <f>(SUM(G30:$G$79)*$I$1)</f>
        <v>30.474590172038994</v>
      </c>
      <c r="K29" s="11">
        <f t="shared" si="6"/>
        <v>-21.632776330219485</v>
      </c>
      <c r="Q29" s="65">
        <v>25</v>
      </c>
      <c r="R29" s="66">
        <f>Inputs!H32</f>
        <v>6.02E-4</v>
      </c>
    </row>
    <row r="30" spans="1:18" x14ac:dyDescent="0.25">
      <c r="A30">
        <f t="shared" si="2"/>
        <v>105</v>
      </c>
      <c r="B30">
        <v>26</v>
      </c>
      <c r="C30" s="12">
        <f t="shared" si="3"/>
        <v>0.38</v>
      </c>
      <c r="D30" s="10">
        <f t="shared" si="4"/>
        <v>0.62</v>
      </c>
      <c r="E30" s="198">
        <f>IF(B30&lt;=$C$2,1,IF(B30=$C$2+1,PRODUCT($D$5:D30),E29*D30))</f>
        <v>7.1510106954129913E-3</v>
      </c>
      <c r="F30" s="10">
        <f t="shared" si="0"/>
        <v>0.36068923293650368</v>
      </c>
      <c r="G30" s="10">
        <f t="shared" si="5"/>
        <v>2.5792925624492456E-3</v>
      </c>
      <c r="I30" s="13">
        <f t="shared" si="1"/>
        <v>35.755053477064955</v>
      </c>
      <c r="J30" s="11">
        <f>(SUM(G31:$G$79)*$I$1)</f>
        <v>17.57812735979277</v>
      </c>
      <c r="K30" s="11">
        <f t="shared" si="6"/>
        <v>-12.896462812246224</v>
      </c>
      <c r="Q30" s="65">
        <v>26</v>
      </c>
      <c r="R30" s="66">
        <f>Inputs!H33</f>
        <v>6.5499999999999998E-4</v>
      </c>
    </row>
    <row r="31" spans="1:18" x14ac:dyDescent="0.25">
      <c r="A31">
        <f t="shared" si="2"/>
        <v>106</v>
      </c>
      <c r="B31">
        <v>27</v>
      </c>
      <c r="C31" s="12">
        <f t="shared" si="3"/>
        <v>0.4</v>
      </c>
      <c r="D31" s="10">
        <f t="shared" si="4"/>
        <v>0.6</v>
      </c>
      <c r="E31" s="198">
        <f>IF(B31&lt;=$C$2,1,IF(B31=$C$2+1,PRODUCT($D$5:D31),E30*D31))</f>
        <v>4.2906064172477942E-3</v>
      </c>
      <c r="F31" s="10">
        <f t="shared" si="0"/>
        <v>0.3468165701312535</v>
      </c>
      <c r="G31" s="10">
        <f t="shared" si="5"/>
        <v>1.4880534014130259E-3</v>
      </c>
      <c r="I31" s="13">
        <f t="shared" si="1"/>
        <v>21.45303208623897</v>
      </c>
      <c r="J31" s="11">
        <f>(SUM(G32:$G$79)*$I$1)</f>
        <v>10.137860352727639</v>
      </c>
      <c r="K31" s="11">
        <f t="shared" si="6"/>
        <v>-7.4402670070651311</v>
      </c>
      <c r="Q31" s="65">
        <v>27</v>
      </c>
      <c r="R31" s="66">
        <f>Inputs!H34</f>
        <v>6.8800000000000003E-4</v>
      </c>
    </row>
    <row r="32" spans="1:18" x14ac:dyDescent="0.25">
      <c r="A32">
        <f t="shared" si="2"/>
        <v>107</v>
      </c>
      <c r="B32">
        <v>28</v>
      </c>
      <c r="C32" s="12">
        <f t="shared" si="3"/>
        <v>0.4</v>
      </c>
      <c r="D32" s="10">
        <f t="shared" si="4"/>
        <v>0.6</v>
      </c>
      <c r="E32" s="198">
        <f>IF(B32&lt;=$C$2,1,IF(B32=$C$2+1,PRODUCT($D$5:D32),E31*D32))</f>
        <v>2.5743638503486765E-3</v>
      </c>
      <c r="F32" s="10">
        <f t="shared" si="0"/>
        <v>0.3334774712800514</v>
      </c>
      <c r="G32" s="10">
        <f t="shared" si="5"/>
        <v>8.5849234696905329E-4</v>
      </c>
      <c r="I32" s="13">
        <f t="shared" si="1"/>
        <v>12.871819251743382</v>
      </c>
      <c r="J32" s="11">
        <f>(SUM(G33:$G$79)*$I$1)</f>
        <v>5.8453986178823722</v>
      </c>
      <c r="K32" s="11">
        <f t="shared" si="6"/>
        <v>-4.2924617348452667</v>
      </c>
      <c r="Q32" s="65">
        <v>28</v>
      </c>
      <c r="R32" s="66">
        <f>Inputs!H35</f>
        <v>7.1000000000000002E-4</v>
      </c>
    </row>
    <row r="33" spans="1:18" x14ac:dyDescent="0.25">
      <c r="A33">
        <f t="shared" si="2"/>
        <v>108</v>
      </c>
      <c r="B33">
        <v>29</v>
      </c>
      <c r="C33" s="12">
        <f t="shared" si="3"/>
        <v>0.4</v>
      </c>
      <c r="D33" s="10">
        <f t="shared" si="4"/>
        <v>0.6</v>
      </c>
      <c r="E33" s="198">
        <f>IF(B33&lt;=$C$2,1,IF(B33=$C$2+1,PRODUCT($D$5:D33),E32*D33))</f>
        <v>1.544618310209206E-3</v>
      </c>
      <c r="F33" s="10">
        <f t="shared" si="0"/>
        <v>0.32065141469235708</v>
      </c>
      <c r="G33" s="10">
        <f t="shared" si="5"/>
        <v>4.9528404632829994E-4</v>
      </c>
      <c r="I33" s="13">
        <f t="shared" si="1"/>
        <v>7.7230915510460294</v>
      </c>
      <c r="J33" s="11">
        <f>(SUM(G34:$G$79)*$I$1)</f>
        <v>3.3689783862408733</v>
      </c>
      <c r="K33" s="11">
        <f t="shared" si="6"/>
        <v>-2.4764202316414989</v>
      </c>
      <c r="Q33" s="65">
        <v>29</v>
      </c>
      <c r="R33" s="66">
        <f>Inputs!H36</f>
        <v>7.27E-4</v>
      </c>
    </row>
    <row r="34" spans="1:18" x14ac:dyDescent="0.25">
      <c r="A34">
        <f t="shared" si="2"/>
        <v>109</v>
      </c>
      <c r="B34">
        <v>30</v>
      </c>
      <c r="C34" s="12">
        <f t="shared" si="3"/>
        <v>0.4</v>
      </c>
      <c r="D34" s="10">
        <f t="shared" si="4"/>
        <v>0.6</v>
      </c>
      <c r="E34" s="198">
        <f>IF(B34&lt;=$C$2,1,IF(B34=$C$2+1,PRODUCT($D$5:D34),E33*D34))</f>
        <v>9.2677098612552352E-4</v>
      </c>
      <c r="F34" s="10">
        <f t="shared" si="0"/>
        <v>0.30831866797342034</v>
      </c>
      <c r="G34" s="10">
        <f t="shared" si="5"/>
        <v>2.8574079595863465E-4</v>
      </c>
      <c r="I34" s="13">
        <f t="shared" si="1"/>
        <v>4.633854930627618</v>
      </c>
      <c r="J34" s="11">
        <f>(SUM(G35:$G$79)*$I$1)</f>
        <v>1.9402744064477007</v>
      </c>
      <c r="K34" s="11">
        <f t="shared" si="6"/>
        <v>-1.4287039797931727</v>
      </c>
      <c r="Q34" s="65">
        <v>30</v>
      </c>
      <c r="R34" s="66">
        <f>Inputs!H37</f>
        <v>7.4100000000000001E-4</v>
      </c>
    </row>
    <row r="35" spans="1:18" x14ac:dyDescent="0.25">
      <c r="A35">
        <f t="shared" si="2"/>
        <v>110</v>
      </c>
      <c r="B35">
        <v>31</v>
      </c>
      <c r="C35" s="12">
        <f t="shared" si="3"/>
        <v>0.4</v>
      </c>
      <c r="D35" s="10">
        <f t="shared" si="4"/>
        <v>0.6</v>
      </c>
      <c r="E35" s="198">
        <f>IF(B35&lt;=$C$2,1,IF(B35=$C$2+1,PRODUCT($D$5:D35),E34*D35))</f>
        <v>5.5606259167531407E-4</v>
      </c>
      <c r="F35" s="10">
        <f t="shared" si="0"/>
        <v>0.29646025766675027</v>
      </c>
      <c r="G35" s="10">
        <f t="shared" si="5"/>
        <v>1.6485045920690454E-4</v>
      </c>
      <c r="I35" s="13">
        <f t="shared" si="1"/>
        <v>2.7803129583765704</v>
      </c>
      <c r="J35" s="11">
        <f>(SUM(G36:$G$79)*$I$1)</f>
        <v>1.1160221104131776</v>
      </c>
      <c r="K35" s="11">
        <f t="shared" si="6"/>
        <v>-0.8242522960345231</v>
      </c>
      <c r="Q35" s="65">
        <v>31</v>
      </c>
      <c r="R35" s="66">
        <f>Inputs!H38</f>
        <v>7.5100000000000004E-4</v>
      </c>
    </row>
    <row r="36" spans="1:18" x14ac:dyDescent="0.25">
      <c r="A36">
        <f t="shared" si="2"/>
        <v>111</v>
      </c>
      <c r="B36">
        <v>32</v>
      </c>
      <c r="C36" s="12">
        <f t="shared" si="3"/>
        <v>0.4</v>
      </c>
      <c r="D36" s="10">
        <f t="shared" si="4"/>
        <v>0.6</v>
      </c>
      <c r="E36" s="198">
        <f>IF(B36&lt;=$C$2,1,IF(B36=$C$2+1,PRODUCT($D$5:D36),E35*D36))</f>
        <v>3.3363755500518842E-4</v>
      </c>
      <c r="F36" s="10">
        <f t="shared" si="0"/>
        <v>0.28505794006418295</v>
      </c>
      <c r="G36" s="10">
        <f t="shared" si="5"/>
        <v>9.510603415782954E-5</v>
      </c>
      <c r="I36" s="13">
        <f t="shared" si="1"/>
        <v>1.6681877750259422</v>
      </c>
      <c r="J36" s="11">
        <f>(SUM(G37:$G$79)*$I$1)</f>
        <v>0.64049193962402962</v>
      </c>
      <c r="K36" s="11">
        <f t="shared" si="6"/>
        <v>-0.47553017078914794</v>
      </c>
      <c r="Q36" s="65">
        <v>32</v>
      </c>
      <c r="R36" s="66">
        <f>Inputs!H39</f>
        <v>7.54E-4</v>
      </c>
    </row>
    <row r="37" spans="1:18" x14ac:dyDescent="0.25">
      <c r="A37">
        <f t="shared" si="2"/>
        <v>112</v>
      </c>
      <c r="B37">
        <v>33</v>
      </c>
      <c r="C37" s="12">
        <f t="shared" si="3"/>
        <v>0.4</v>
      </c>
      <c r="D37" s="10">
        <f t="shared" si="4"/>
        <v>0.6</v>
      </c>
      <c r="E37" s="198">
        <f>IF(B37&lt;=$C$2,1,IF(B37=$C$2+1,PRODUCT($D$5:D37),E36*D37))</f>
        <v>2.0018253300311306E-4</v>
      </c>
      <c r="F37" s="10">
        <f t="shared" si="0"/>
        <v>0.27409417313863743</v>
      </c>
      <c r="G37" s="10">
        <f t="shared" si="5"/>
        <v>5.4868865860286272E-5</v>
      </c>
      <c r="I37" s="13">
        <f t="shared" si="1"/>
        <v>1.0009126650155653</v>
      </c>
      <c r="J37" s="11">
        <f>(SUM(G38:$G$79)*$I$1)</f>
        <v>0.3661476103225984</v>
      </c>
      <c r="K37" s="11">
        <f t="shared" si="6"/>
        <v>-0.27434432930143121</v>
      </c>
      <c r="Q37" s="65">
        <v>33</v>
      </c>
      <c r="R37" s="66">
        <f>Inputs!H40</f>
        <v>7.5600000000000005E-4</v>
      </c>
    </row>
    <row r="38" spans="1:18" x14ac:dyDescent="0.25">
      <c r="A38">
        <f t="shared" si="2"/>
        <v>113</v>
      </c>
      <c r="B38">
        <v>34</v>
      </c>
      <c r="C38" s="12">
        <f t="shared" si="3"/>
        <v>0.4</v>
      </c>
      <c r="D38" s="10">
        <f t="shared" si="4"/>
        <v>0.6</v>
      </c>
      <c r="E38" s="198">
        <f>IF(B38&lt;=$C$2,1,IF(B38=$C$2+1,PRODUCT($D$5:D38),E37*D38))</f>
        <v>1.2010951980186783E-4</v>
      </c>
      <c r="F38" s="10">
        <f t="shared" si="0"/>
        <v>0.26355208955638215</v>
      </c>
      <c r="G38" s="10">
        <f t="shared" si="5"/>
        <v>3.1655114919395927E-5</v>
      </c>
      <c r="I38" s="13">
        <f t="shared" si="1"/>
        <v>0.60054759900933918</v>
      </c>
      <c r="J38" s="11">
        <f>(SUM(G39:$G$79)*$I$1)</f>
        <v>0.2078720357256188</v>
      </c>
      <c r="K38" s="11">
        <f t="shared" si="6"/>
        <v>-0.15827557459697961</v>
      </c>
      <c r="Q38" s="65">
        <v>34</v>
      </c>
      <c r="R38" s="66">
        <f>Inputs!H41</f>
        <v>7.5600000000000005E-4</v>
      </c>
    </row>
    <row r="39" spans="1:18" x14ac:dyDescent="0.25">
      <c r="A39">
        <f t="shared" si="2"/>
        <v>114</v>
      </c>
      <c r="B39">
        <v>35</v>
      </c>
      <c r="C39" s="12">
        <f t="shared" si="3"/>
        <v>0.4</v>
      </c>
      <c r="D39" s="10">
        <f t="shared" si="4"/>
        <v>0.6</v>
      </c>
      <c r="E39" s="198">
        <f>IF(B39&lt;=$C$2,1,IF(B39=$C$2+1,PRODUCT($D$5:D39),E38*D39))</f>
        <v>7.2065711881120698E-5</v>
      </c>
      <c r="F39" s="10">
        <f t="shared" si="0"/>
        <v>0.25341547072729048</v>
      </c>
      <c r="G39" s="10">
        <f t="shared" si="5"/>
        <v>1.8262566299651492E-5</v>
      </c>
      <c r="I39" s="13">
        <f t="shared" si="1"/>
        <v>0.36032855940560349</v>
      </c>
      <c r="J39" s="11">
        <f>(SUM(G40:$G$79)*$I$1)</f>
        <v>0.11655920422736132</v>
      </c>
      <c r="K39" s="11">
        <f t="shared" si="6"/>
        <v>-9.1312831498257474E-2</v>
      </c>
      <c r="Q39" s="65">
        <v>35</v>
      </c>
      <c r="R39" s="66">
        <f>Inputs!H42</f>
        <v>7.5600000000000005E-4</v>
      </c>
    </row>
    <row r="40" spans="1:18" x14ac:dyDescent="0.25">
      <c r="A40">
        <f t="shared" si="2"/>
        <v>115</v>
      </c>
      <c r="B40">
        <v>36</v>
      </c>
      <c r="C40" s="12">
        <f t="shared" si="3"/>
        <v>0.4</v>
      </c>
      <c r="D40" s="10">
        <f t="shared" si="4"/>
        <v>0.6</v>
      </c>
      <c r="E40" s="198">
        <f>IF(B40&lt;=$C$2,1,IF(B40=$C$2+1,PRODUCT($D$5:D40),E39*D40))</f>
        <v>4.3239427128672414E-5</v>
      </c>
      <c r="F40" s="10">
        <f t="shared" si="0"/>
        <v>0.24366872185316396</v>
      </c>
      <c r="G40" s="10">
        <f t="shared" si="5"/>
        <v>1.0536095942106631E-5</v>
      </c>
      <c r="I40" s="13">
        <f t="shared" si="1"/>
        <v>0.21619713564336207</v>
      </c>
      <c r="J40" s="11">
        <f>(SUM(G41:$G$79)*$I$1)</f>
        <v>6.3878724516828189E-2</v>
      </c>
      <c r="K40" s="11">
        <f t="shared" si="6"/>
        <v>-5.2680479710533135E-2</v>
      </c>
      <c r="Q40" s="65">
        <v>36</v>
      </c>
      <c r="R40" s="66">
        <f>Inputs!H43</f>
        <v>7.5600000000000005E-4</v>
      </c>
    </row>
    <row r="41" spans="1:18" x14ac:dyDescent="0.25">
      <c r="A41">
        <f t="shared" si="2"/>
        <v>116</v>
      </c>
      <c r="B41">
        <v>37</v>
      </c>
      <c r="C41" s="12">
        <f t="shared" si="3"/>
        <v>0.4</v>
      </c>
      <c r="D41" s="10">
        <f t="shared" si="4"/>
        <v>0.6</v>
      </c>
      <c r="E41" s="198">
        <f>IF(B41&lt;=$C$2,1,IF(B41=$C$2+1,PRODUCT($D$5:D41),E40*D41))</f>
        <v>2.5943656277203448E-5</v>
      </c>
      <c r="F41" s="10">
        <f t="shared" si="0"/>
        <v>0.23429684793573452</v>
      </c>
      <c r="G41" s="10">
        <f t="shared" si="5"/>
        <v>6.0785168896769005E-6</v>
      </c>
      <c r="I41" s="13">
        <f t="shared" si="1"/>
        <v>0.12971828138601724</v>
      </c>
      <c r="J41" s="11">
        <f>(SUM(G42:$G$79)*$I$1)</f>
        <v>3.3486140068443672E-2</v>
      </c>
      <c r="K41" s="11">
        <f t="shared" si="6"/>
        <v>-3.0392584448384517E-2</v>
      </c>
      <c r="Q41" s="65">
        <v>37</v>
      </c>
      <c r="R41" s="66">
        <f>Inputs!H44</f>
        <v>7.5600000000000005E-4</v>
      </c>
    </row>
    <row r="42" spans="1:18" x14ac:dyDescent="0.25">
      <c r="A42">
        <f t="shared" si="2"/>
        <v>117</v>
      </c>
      <c r="B42">
        <v>38</v>
      </c>
      <c r="C42" s="12">
        <f t="shared" si="3"/>
        <v>0.4</v>
      </c>
      <c r="D42" s="10">
        <f t="shared" si="4"/>
        <v>0.6</v>
      </c>
      <c r="E42" s="198">
        <f>IF(B42&lt;=$C$2,1,IF(B42=$C$2+1,PRODUCT($D$5:D42),E41*D42))</f>
        <v>1.5566193766322069E-5</v>
      </c>
      <c r="F42" s="10">
        <f t="shared" si="0"/>
        <v>0.22528543070743706</v>
      </c>
      <c r="G42" s="10">
        <f t="shared" si="5"/>
        <v>3.5068366671212894E-6</v>
      </c>
      <c r="I42" s="13">
        <f t="shared" si="1"/>
        <v>7.783096883161035E-2</v>
      </c>
      <c r="J42" s="11">
        <f>(SUM(G43:$G$79)*$I$1)</f>
        <v>1.5951956732837225E-2</v>
      </c>
      <c r="K42" s="11">
        <f t="shared" si="6"/>
        <v>-1.7534183335606447E-2</v>
      </c>
      <c r="Q42" s="65">
        <v>38</v>
      </c>
      <c r="R42" s="66">
        <f>Inputs!H45</f>
        <v>7.5600000000000005E-4</v>
      </c>
    </row>
    <row r="43" spans="1:18" x14ac:dyDescent="0.25">
      <c r="A43">
        <f t="shared" si="2"/>
        <v>118</v>
      </c>
      <c r="B43">
        <v>39</v>
      </c>
      <c r="C43" s="12">
        <f t="shared" si="3"/>
        <v>0.4</v>
      </c>
      <c r="D43" s="10">
        <f t="shared" si="4"/>
        <v>0.6</v>
      </c>
      <c r="E43" s="198">
        <f>IF(B43&lt;=$C$2,1,IF(B43=$C$2+1,PRODUCT($D$5:D43),E42*D43))</f>
        <v>9.3397162597932416E-6</v>
      </c>
      <c r="F43" s="10">
        <f t="shared" si="0"/>
        <v>0.21662060644945874</v>
      </c>
      <c r="G43" s="10">
        <f t="shared" si="5"/>
        <v>2.0231750002622824E-6</v>
      </c>
      <c r="I43" s="13">
        <f t="shared" si="1"/>
        <v>4.6698581298966209E-2</v>
      </c>
      <c r="J43" s="11">
        <f>(SUM(G44:$G$79)*$I$1)</f>
        <v>5.8360817315258121E-3</v>
      </c>
      <c r="K43" s="11">
        <f t="shared" si="6"/>
        <v>-1.0115875001311413E-2</v>
      </c>
      <c r="Q43" s="65">
        <v>39</v>
      </c>
      <c r="R43" s="66">
        <f>Inputs!H46</f>
        <v>8.0000000000000004E-4</v>
      </c>
    </row>
    <row r="44" spans="1:18" x14ac:dyDescent="0.25">
      <c r="A44">
        <f t="shared" si="2"/>
        <v>119</v>
      </c>
      <c r="B44">
        <v>40</v>
      </c>
      <c r="C44" s="12">
        <f t="shared" si="3"/>
        <v>0.4</v>
      </c>
      <c r="D44" s="10">
        <f t="shared" si="4"/>
        <v>0.6</v>
      </c>
      <c r="E44" s="198">
        <f>IF(B44&lt;=$C$2,1,IF(B44=$C$2+1,PRODUCT($D$5:D44),E43*D44))</f>
        <v>5.6038297558759448E-6</v>
      </c>
      <c r="F44" s="10">
        <f t="shared" si="0"/>
        <v>0.20828904466294101</v>
      </c>
      <c r="G44" s="10">
        <f t="shared" si="5"/>
        <v>1.1672163463051625E-6</v>
      </c>
      <c r="I44" s="13">
        <f t="shared" si="1"/>
        <v>2.8019148779379725E-2</v>
      </c>
      <c r="J44" s="11">
        <f>(SUM(G45:$G$79)*$I$1)</f>
        <v>0</v>
      </c>
      <c r="K44" s="11">
        <f t="shared" si="6"/>
        <v>-5.8360817315258121E-3</v>
      </c>
      <c r="Q44" s="65">
        <v>40</v>
      </c>
      <c r="R44" s="66">
        <f>Inputs!H47</f>
        <v>8.5899999999999995E-4</v>
      </c>
    </row>
    <row r="45" spans="1:18" x14ac:dyDescent="0.25">
      <c r="A45">
        <f t="shared" si="2"/>
        <v>120</v>
      </c>
      <c r="B45">
        <v>41</v>
      </c>
      <c r="C45" s="12">
        <f t="shared" si="3"/>
        <v>1</v>
      </c>
      <c r="D45" s="10">
        <f t="shared" si="4"/>
        <v>0</v>
      </c>
      <c r="E45" s="198">
        <f>IF(B45&lt;=$C$2,1,IF(B45=$C$2+1,PRODUCT($D$5:D45),E44*D45))</f>
        <v>0</v>
      </c>
      <c r="F45" s="10">
        <f t="shared" si="0"/>
        <v>0</v>
      </c>
      <c r="G45" s="10">
        <f t="shared" si="5"/>
        <v>0</v>
      </c>
      <c r="I45" s="13">
        <f t="shared" si="1"/>
        <v>0</v>
      </c>
      <c r="J45" s="11">
        <f>(SUM(G46:$G$79)*$I$1)</f>
        <v>0</v>
      </c>
      <c r="K45" s="11">
        <f t="shared" si="6"/>
        <v>0</v>
      </c>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45">
    <cfRule type="cellIs" dxfId="18"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0" workbookViewId="0">
      <selection activeCell="D127" sqref="D127:F134"/>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147</v>
      </c>
      <c r="I1" s="3">
        <v>5000</v>
      </c>
      <c r="J1" s="181" t="s">
        <v>173</v>
      </c>
      <c r="L1" s="1"/>
      <c r="M1" s="4"/>
      <c r="N1" s="4"/>
      <c r="O1" s="4"/>
      <c r="P1" s="4"/>
      <c r="Q1" s="64"/>
      <c r="R1" s="28"/>
    </row>
    <row r="2" spans="1:18" ht="15.75" customHeight="1" thickBot="1" x14ac:dyDescent="0.3">
      <c r="B2" t="s">
        <v>227</v>
      </c>
      <c r="C2">
        <v>15</v>
      </c>
      <c r="F2" s="5">
        <f>'Asset and Liability Durations'!N24</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7.6667716563040713</v>
      </c>
      <c r="N3" s="10"/>
      <c r="O3" s="10"/>
      <c r="P3" s="10"/>
      <c r="Q3" s="31"/>
      <c r="R3" s="32"/>
    </row>
    <row r="4" spans="1:18" x14ac:dyDescent="0.25">
      <c r="A4">
        <v>79</v>
      </c>
      <c r="B4">
        <v>0</v>
      </c>
      <c r="C4" s="8"/>
      <c r="D4" s="7"/>
      <c r="E4" s="7"/>
      <c r="F4" s="7"/>
      <c r="G4" s="10">
        <v>1</v>
      </c>
      <c r="J4" s="11">
        <f>(SUM(G5:$G$79)*$I$1)</f>
        <v>57651.696294865047</v>
      </c>
      <c r="Q4" s="65">
        <v>0</v>
      </c>
      <c r="R4" s="66">
        <f>Inputs!H7</f>
        <v>1.6050000000000001E-3</v>
      </c>
    </row>
    <row r="5" spans="1:18" ht="15.75" thickBot="1" x14ac:dyDescent="0.3">
      <c r="A5">
        <f>B5+$A$4</f>
        <v>80</v>
      </c>
      <c r="B5">
        <v>1</v>
      </c>
      <c r="C5" s="12">
        <f>VLOOKUP(A5,$Q$4:$R$124,2,FALSE)</f>
        <v>3.3234E-2</v>
      </c>
      <c r="D5" s="10">
        <f>1-C5</f>
        <v>0.96676600000000001</v>
      </c>
      <c r="E5" s="198">
        <f>IF(B5&lt;=$C$2,1,IF(B5=$C$2+1,PRODUCT($D$5:D5),E4*D5))</f>
        <v>1</v>
      </c>
      <c r="F5" s="10">
        <f t="shared" ref="F5:F45" si="0">IF(D5=0,0,(1+$F$2)^-B5)</f>
        <v>0.96153846153846145</v>
      </c>
      <c r="G5" s="10">
        <f>F5*E5</f>
        <v>0.96153846153846145</v>
      </c>
      <c r="I5" s="13">
        <f t="shared" ref="I5:I45" si="1">E5*$I$1</f>
        <v>5000</v>
      </c>
      <c r="J5" s="11">
        <f>(SUM(G6:$G$79)*$I$1)</f>
        <v>52844.003987172735</v>
      </c>
      <c r="K5" s="11">
        <f>J5-J4</f>
        <v>-4807.6923076923122</v>
      </c>
      <c r="L5" s="14" t="s">
        <v>16</v>
      </c>
      <c r="M5" s="14" t="s">
        <v>17</v>
      </c>
      <c r="N5" s="14" t="s">
        <v>18</v>
      </c>
      <c r="O5" s="14" t="s">
        <v>47</v>
      </c>
      <c r="Q5" s="65">
        <v>1</v>
      </c>
      <c r="R5" s="66">
        <f>Inputs!H8</f>
        <v>4.0099999999999999E-4</v>
      </c>
    </row>
    <row r="6" spans="1:18" x14ac:dyDescent="0.25">
      <c r="A6">
        <f t="shared" ref="A6:A45" si="2">B6+$A$4</f>
        <v>81</v>
      </c>
      <c r="B6">
        <v>2</v>
      </c>
      <c r="C6" s="12">
        <f t="shared" ref="C6:C45" si="3">VLOOKUP(A6,$Q$4:$R$124,2,FALSE)</f>
        <v>3.7532999999999997E-2</v>
      </c>
      <c r="D6" s="10">
        <f t="shared" ref="D6:D45" si="4">1-C6</f>
        <v>0.96246699999999996</v>
      </c>
      <c r="E6" s="198">
        <f>IF(B6&lt;=$C$2,1,IF(B6=$C$2+1,PRODUCT($D$5:D6),E5*D6))</f>
        <v>1</v>
      </c>
      <c r="F6" s="10">
        <f t="shared" si="0"/>
        <v>0.92455621301775137</v>
      </c>
      <c r="G6" s="10">
        <f t="shared" ref="G6:G45" si="5">F6*E6</f>
        <v>0.92455621301775137</v>
      </c>
      <c r="I6" s="13">
        <f t="shared" si="1"/>
        <v>5000</v>
      </c>
      <c r="J6" s="11">
        <f>(SUM(G7:$G$79)*$I$1)</f>
        <v>48221.222922083973</v>
      </c>
      <c r="K6" s="11">
        <f t="shared" ref="K6:K45" si="6">J6-J5</f>
        <v>-4622.7810650887623</v>
      </c>
      <c r="L6" s="14">
        <v>2</v>
      </c>
      <c r="M6" s="54" t="s">
        <v>44</v>
      </c>
      <c r="N6" s="15">
        <f>SUM(I5:I7)</f>
        <v>15000</v>
      </c>
      <c r="O6" s="16">
        <f>N6/SUM($N$6:$N$9)</f>
        <v>0.1892851877561495</v>
      </c>
      <c r="Q6" s="65">
        <v>2</v>
      </c>
      <c r="R6" s="66">
        <f>Inputs!H9</f>
        <v>2.7500000000000002E-4</v>
      </c>
    </row>
    <row r="7" spans="1:18" x14ac:dyDescent="0.25">
      <c r="A7">
        <f t="shared" si="2"/>
        <v>82</v>
      </c>
      <c r="B7">
        <v>3</v>
      </c>
      <c r="C7" s="12">
        <f t="shared" si="3"/>
        <v>4.2261E-2</v>
      </c>
      <c r="D7" s="10">
        <f t="shared" si="4"/>
        <v>0.95773900000000001</v>
      </c>
      <c r="E7" s="198">
        <f>IF(B7&lt;=$C$2,1,IF(B7=$C$2+1,PRODUCT($D$5:D7),E6*D7))</f>
        <v>1</v>
      </c>
      <c r="F7" s="10">
        <f t="shared" si="0"/>
        <v>0.88899635867091487</v>
      </c>
      <c r="G7" s="10">
        <f t="shared" si="5"/>
        <v>0.88899635867091487</v>
      </c>
      <c r="I7" s="13">
        <f t="shared" si="1"/>
        <v>5000</v>
      </c>
      <c r="J7" s="11">
        <f>(SUM(G8:$G$79)*$I$1)</f>
        <v>43776.241128729394</v>
      </c>
      <c r="K7" s="11">
        <f t="shared" si="6"/>
        <v>-4444.9817933545783</v>
      </c>
      <c r="L7" s="14">
        <v>5</v>
      </c>
      <c r="M7" s="19" t="s">
        <v>45</v>
      </c>
      <c r="N7" s="17">
        <f>SUM(I8:I11)</f>
        <v>20000</v>
      </c>
      <c r="O7" s="18">
        <f>N7/SUM($N$6:$N$9)</f>
        <v>0.25238025034153266</v>
      </c>
      <c r="Q7" s="65">
        <v>3</v>
      </c>
      <c r="R7" s="66">
        <f>Inputs!H10</f>
        <v>2.2900000000000001E-4</v>
      </c>
    </row>
    <row r="8" spans="1:18" x14ac:dyDescent="0.25">
      <c r="A8">
        <f t="shared" si="2"/>
        <v>83</v>
      </c>
      <c r="B8">
        <v>4</v>
      </c>
      <c r="C8" s="12">
        <f t="shared" si="3"/>
        <v>4.7440999999999997E-2</v>
      </c>
      <c r="D8" s="10">
        <f t="shared" si="4"/>
        <v>0.95255900000000004</v>
      </c>
      <c r="E8" s="198">
        <f>IF(B8&lt;=$C$2,1,IF(B8=$C$2+1,PRODUCT($D$5:D8),E7*D8))</f>
        <v>1</v>
      </c>
      <c r="F8" s="10">
        <f t="shared" si="0"/>
        <v>0.85480419102972571</v>
      </c>
      <c r="G8" s="10">
        <f>F8*E8</f>
        <v>0.85480419102972571</v>
      </c>
      <c r="I8" s="13">
        <f t="shared" si="1"/>
        <v>5000</v>
      </c>
      <c r="J8" s="11">
        <f>(SUM(G9:$G$79)*$I$1)</f>
        <v>39502.220173580783</v>
      </c>
      <c r="K8" s="11">
        <f t="shared" si="6"/>
        <v>-4274.0209551486114</v>
      </c>
      <c r="L8" s="14">
        <v>10</v>
      </c>
      <c r="M8" s="19" t="s">
        <v>46</v>
      </c>
      <c r="N8" s="17">
        <f>SUM(I12:I19)</f>
        <v>40000</v>
      </c>
      <c r="O8" s="18">
        <f>N8/SUM($N$6:$N$9)</f>
        <v>0.50476050068306533</v>
      </c>
      <c r="Q8" s="65">
        <v>4</v>
      </c>
      <c r="R8" s="66">
        <f>Inputs!H11</f>
        <v>1.74E-4</v>
      </c>
    </row>
    <row r="9" spans="1:18" ht="15.75" thickBot="1" x14ac:dyDescent="0.3">
      <c r="A9">
        <f t="shared" si="2"/>
        <v>84</v>
      </c>
      <c r="B9">
        <v>5</v>
      </c>
      <c r="C9" s="12">
        <f t="shared" si="3"/>
        <v>5.3233000000000003E-2</v>
      </c>
      <c r="D9" s="10">
        <f t="shared" si="4"/>
        <v>0.94676700000000003</v>
      </c>
      <c r="E9" s="198">
        <f>IF(B9&lt;=$C$2,1,IF(B9=$C$2+1,PRODUCT($D$5:D9),E8*D9))</f>
        <v>1</v>
      </c>
      <c r="F9" s="10">
        <f t="shared" si="0"/>
        <v>0.82192710675935154</v>
      </c>
      <c r="G9" s="10">
        <f t="shared" si="5"/>
        <v>0.82192710675935154</v>
      </c>
      <c r="I9" s="13">
        <f t="shared" si="1"/>
        <v>5000</v>
      </c>
      <c r="J9" s="11">
        <f>(SUM(G10:$G$79)*$I$1)</f>
        <v>35392.584639784029</v>
      </c>
      <c r="K9" s="11">
        <f t="shared" si="6"/>
        <v>-4109.6355337967543</v>
      </c>
      <c r="L9" s="14">
        <v>30</v>
      </c>
      <c r="M9" s="20" t="s">
        <v>48</v>
      </c>
      <c r="N9" s="21">
        <f>SUM(I20:I70)</f>
        <v>4245.5034533608459</v>
      </c>
      <c r="O9" s="22">
        <f>N9/SUM($N$6:$N$9)</f>
        <v>5.3574061219252588E-2</v>
      </c>
      <c r="Q9" s="65">
        <v>5</v>
      </c>
      <c r="R9" s="66">
        <f>Inputs!H12</f>
        <v>1.6799999999999999E-4</v>
      </c>
    </row>
    <row r="10" spans="1:18" x14ac:dyDescent="0.25">
      <c r="A10">
        <f t="shared" si="2"/>
        <v>85</v>
      </c>
      <c r="B10">
        <v>6</v>
      </c>
      <c r="C10" s="12">
        <f t="shared" si="3"/>
        <v>5.9854999999999998E-2</v>
      </c>
      <c r="D10" s="10">
        <f t="shared" si="4"/>
        <v>0.94014500000000001</v>
      </c>
      <c r="E10" s="198">
        <f>IF(B10&lt;=$C$2,1,IF(B10=$C$2+1,PRODUCT($D$5:D10),E9*D10))</f>
        <v>1</v>
      </c>
      <c r="F10" s="10">
        <f t="shared" si="0"/>
        <v>0.79031452573014571</v>
      </c>
      <c r="G10" s="10">
        <f t="shared" si="5"/>
        <v>0.79031452573014571</v>
      </c>
      <c r="I10" s="13">
        <f t="shared" si="1"/>
        <v>5000</v>
      </c>
      <c r="J10" s="11">
        <f>(SUM(G11:$G$79)*$I$1)</f>
        <v>31441.012011133302</v>
      </c>
      <c r="K10" s="11">
        <f t="shared" si="6"/>
        <v>-3951.572628650727</v>
      </c>
      <c r="L10" s="53">
        <f>+SUMPRODUCT(L6:L9,O6:O9)</f>
        <v>8.2952984706281931</v>
      </c>
      <c r="O10" s="23">
        <f>SUM(O6:O9)</f>
        <v>1</v>
      </c>
      <c r="Q10" s="65">
        <v>6</v>
      </c>
      <c r="R10" s="66">
        <f>Inputs!H13</f>
        <v>1.65E-4</v>
      </c>
    </row>
    <row r="11" spans="1:18" x14ac:dyDescent="0.25">
      <c r="A11">
        <f t="shared" si="2"/>
        <v>86</v>
      </c>
      <c r="B11">
        <v>7</v>
      </c>
      <c r="C11" s="12">
        <f t="shared" si="3"/>
        <v>6.7514000000000005E-2</v>
      </c>
      <c r="D11" s="10">
        <f t="shared" si="4"/>
        <v>0.93248600000000004</v>
      </c>
      <c r="E11" s="198">
        <f>IF(B11&lt;=$C$2,1,IF(B11=$C$2+1,PRODUCT($D$5:D11),E10*D11))</f>
        <v>1</v>
      </c>
      <c r="F11" s="10">
        <f t="shared" si="0"/>
        <v>0.75991781320206331</v>
      </c>
      <c r="G11" s="10">
        <f t="shared" si="5"/>
        <v>0.75991781320206331</v>
      </c>
      <c r="I11" s="13">
        <f t="shared" si="1"/>
        <v>5000</v>
      </c>
      <c r="J11" s="11">
        <f>(SUM(G12:$G$79)*$I$1)</f>
        <v>27641.42294512298</v>
      </c>
      <c r="K11" s="11">
        <f t="shared" si="6"/>
        <v>-3799.5890660103214</v>
      </c>
      <c r="Q11" s="65">
        <v>7</v>
      </c>
      <c r="R11" s="66">
        <f>Inputs!H14</f>
        <v>1.5899999999999999E-4</v>
      </c>
    </row>
    <row r="12" spans="1:18" x14ac:dyDescent="0.25">
      <c r="A12">
        <f t="shared" si="2"/>
        <v>87</v>
      </c>
      <c r="B12">
        <v>8</v>
      </c>
      <c r="C12" s="12">
        <f t="shared" si="3"/>
        <v>7.6340000000000005E-2</v>
      </c>
      <c r="D12" s="10">
        <f t="shared" si="4"/>
        <v>0.92366000000000004</v>
      </c>
      <c r="E12" s="198">
        <f>IF(B12&lt;=$C$2,1,IF(B12=$C$2+1,PRODUCT($D$5:D12),E11*D12))</f>
        <v>1</v>
      </c>
      <c r="F12" s="10">
        <f t="shared" si="0"/>
        <v>0.73069020500198378</v>
      </c>
      <c r="G12" s="10">
        <f t="shared" si="5"/>
        <v>0.73069020500198378</v>
      </c>
      <c r="I12" s="13">
        <f t="shared" si="1"/>
        <v>5000</v>
      </c>
      <c r="J12" s="11">
        <f>(SUM(G13:$G$79)*$I$1)</f>
        <v>23987.971920113065</v>
      </c>
      <c r="K12" s="11">
        <f t="shared" si="6"/>
        <v>-3653.4510250099156</v>
      </c>
      <c r="Q12" s="65">
        <v>8</v>
      </c>
      <c r="R12" s="66">
        <f>Inputs!H15</f>
        <v>1.4300000000000001E-4</v>
      </c>
    </row>
    <row r="13" spans="1:18" x14ac:dyDescent="0.25">
      <c r="A13">
        <f t="shared" si="2"/>
        <v>88</v>
      </c>
      <c r="B13">
        <v>9</v>
      </c>
      <c r="C13" s="12">
        <f t="shared" si="3"/>
        <v>8.6388000000000006E-2</v>
      </c>
      <c r="D13" s="10">
        <f t="shared" si="4"/>
        <v>0.91361199999999998</v>
      </c>
      <c r="E13" s="198">
        <f>IF(B13&lt;=$C$2,1,IF(B13=$C$2+1,PRODUCT($D$5:D13),E12*D13))</f>
        <v>1</v>
      </c>
      <c r="F13" s="10">
        <f t="shared" si="0"/>
        <v>0.70258673557883045</v>
      </c>
      <c r="G13" s="10">
        <f t="shared" si="5"/>
        <v>0.70258673557883045</v>
      </c>
      <c r="I13" s="13">
        <f t="shared" si="1"/>
        <v>5000</v>
      </c>
      <c r="J13" s="11">
        <f>(SUM(G14:$G$79)*$I$1)</f>
        <v>20475.038242218907</v>
      </c>
      <c r="K13" s="11">
        <f t="shared" si="6"/>
        <v>-3512.9336778941579</v>
      </c>
      <c r="Q13" s="65">
        <v>9</v>
      </c>
      <c r="R13" s="66">
        <f>Inputs!H16</f>
        <v>1.2899999999999999E-4</v>
      </c>
    </row>
    <row r="14" spans="1:18" x14ac:dyDescent="0.25">
      <c r="A14">
        <f t="shared" si="2"/>
        <v>89</v>
      </c>
      <c r="B14">
        <v>10</v>
      </c>
      <c r="C14" s="12">
        <f t="shared" si="3"/>
        <v>9.7633999999999999E-2</v>
      </c>
      <c r="D14" s="10">
        <f t="shared" si="4"/>
        <v>0.902366</v>
      </c>
      <c r="E14" s="198">
        <f>IF(B14&lt;=$C$2,1,IF(B14=$C$2+1,PRODUCT($D$5:D14),E13*D14))</f>
        <v>1</v>
      </c>
      <c r="F14" s="10">
        <f t="shared" si="0"/>
        <v>0.67556416882579851</v>
      </c>
      <c r="G14" s="10">
        <f t="shared" si="5"/>
        <v>0.67556416882579851</v>
      </c>
      <c r="I14" s="13">
        <f t="shared" si="1"/>
        <v>5000</v>
      </c>
      <c r="J14" s="11">
        <f>(SUM(G15:$G$79)*$I$1)</f>
        <v>17097.217398089913</v>
      </c>
      <c r="K14" s="11">
        <f t="shared" si="6"/>
        <v>-3377.8208441289935</v>
      </c>
      <c r="Q14" s="65">
        <v>10</v>
      </c>
      <c r="R14" s="66">
        <f>Inputs!H17</f>
        <v>1.13E-4</v>
      </c>
    </row>
    <row r="15" spans="1:18" x14ac:dyDescent="0.25">
      <c r="A15">
        <f t="shared" si="2"/>
        <v>90</v>
      </c>
      <c r="B15">
        <v>11</v>
      </c>
      <c r="C15" s="12">
        <f t="shared" si="3"/>
        <v>0.10999299999999999</v>
      </c>
      <c r="D15" s="10">
        <f t="shared" si="4"/>
        <v>0.89000699999999999</v>
      </c>
      <c r="E15" s="198">
        <f>IF(B15&lt;=$C$2,1,IF(B15=$C$2+1,PRODUCT($D$5:D15),E14*D15))</f>
        <v>1</v>
      </c>
      <c r="F15" s="10">
        <f t="shared" si="0"/>
        <v>0.6495809315632679</v>
      </c>
      <c r="G15" s="10">
        <f t="shared" si="5"/>
        <v>0.6495809315632679</v>
      </c>
      <c r="I15" s="13">
        <f t="shared" si="1"/>
        <v>5000</v>
      </c>
      <c r="J15" s="11">
        <f>(SUM(G16:$G$79)*$I$1)</f>
        <v>13849.312740273575</v>
      </c>
      <c r="K15" s="11">
        <f t="shared" si="6"/>
        <v>-3247.9046578163379</v>
      </c>
      <c r="Q15" s="65">
        <v>11</v>
      </c>
      <c r="R15" s="66">
        <f>Inputs!H18</f>
        <v>1.11E-4</v>
      </c>
    </row>
    <row r="16" spans="1:18" x14ac:dyDescent="0.25">
      <c r="A16">
        <f t="shared" si="2"/>
        <v>91</v>
      </c>
      <c r="B16">
        <v>12</v>
      </c>
      <c r="C16" s="12">
        <f t="shared" si="3"/>
        <v>0.12311900000000001</v>
      </c>
      <c r="D16" s="10">
        <f t="shared" si="4"/>
        <v>0.87688100000000002</v>
      </c>
      <c r="E16" s="198">
        <f>IF(B16&lt;=$C$2,1,IF(B16=$C$2+1,PRODUCT($D$5:D16),E15*D16))</f>
        <v>1</v>
      </c>
      <c r="F16" s="10">
        <f t="shared" si="0"/>
        <v>0.62459704958006512</v>
      </c>
      <c r="G16" s="10">
        <f t="shared" si="5"/>
        <v>0.62459704958006512</v>
      </c>
      <c r="I16" s="13">
        <f t="shared" si="1"/>
        <v>5000</v>
      </c>
      <c r="J16" s="11">
        <f>(SUM(G17:$G$79)*$I$1)</f>
        <v>10726.327492373252</v>
      </c>
      <c r="K16" s="11">
        <f t="shared" si="6"/>
        <v>-3122.9852479003239</v>
      </c>
      <c r="Q16" s="65">
        <v>12</v>
      </c>
      <c r="R16" s="66">
        <f>Inputs!H19</f>
        <v>1.3200000000000001E-4</v>
      </c>
    </row>
    <row r="17" spans="1:18" x14ac:dyDescent="0.25">
      <c r="A17">
        <f t="shared" si="2"/>
        <v>92</v>
      </c>
      <c r="B17">
        <v>13</v>
      </c>
      <c r="C17" s="12">
        <f t="shared" si="3"/>
        <v>0.13716800000000001</v>
      </c>
      <c r="D17" s="10">
        <f t="shared" si="4"/>
        <v>0.86283200000000004</v>
      </c>
      <c r="E17" s="198">
        <f>IF(B17&lt;=$C$2,1,IF(B17=$C$2+1,PRODUCT($D$5:D17),E16*D17))</f>
        <v>1</v>
      </c>
      <c r="F17" s="10">
        <f t="shared" si="0"/>
        <v>0.600574086134678</v>
      </c>
      <c r="G17" s="10">
        <f t="shared" si="5"/>
        <v>0.600574086134678</v>
      </c>
      <c r="I17" s="13">
        <f t="shared" si="1"/>
        <v>5000</v>
      </c>
      <c r="J17" s="11">
        <f>(SUM(G18:$G$79)*$I$1)</f>
        <v>7723.4570616998581</v>
      </c>
      <c r="K17" s="11">
        <f t="shared" si="6"/>
        <v>-3002.8704306733935</v>
      </c>
      <c r="Q17" s="65">
        <v>13</v>
      </c>
      <c r="R17" s="66">
        <f>Inputs!H20</f>
        <v>1.6899999999999999E-4</v>
      </c>
    </row>
    <row r="18" spans="1:18" x14ac:dyDescent="0.25">
      <c r="A18">
        <f t="shared" si="2"/>
        <v>93</v>
      </c>
      <c r="B18">
        <v>14</v>
      </c>
      <c r="C18" s="12">
        <f t="shared" si="3"/>
        <v>0.152171</v>
      </c>
      <c r="D18" s="10">
        <f t="shared" si="4"/>
        <v>0.84782899999999994</v>
      </c>
      <c r="E18" s="198">
        <f>IF(B18&lt;=$C$2,1,IF(B18=$C$2+1,PRODUCT($D$5:D18),E17*D18))</f>
        <v>1</v>
      </c>
      <c r="F18" s="10">
        <f t="shared" si="0"/>
        <v>0.57747508282180582</v>
      </c>
      <c r="G18" s="10">
        <f t="shared" si="5"/>
        <v>0.57747508282180582</v>
      </c>
      <c r="I18" s="13">
        <f t="shared" si="1"/>
        <v>5000</v>
      </c>
      <c r="J18" s="11">
        <f>(SUM(G19:$G$79)*$I$1)</f>
        <v>4836.0816475908305</v>
      </c>
      <c r="K18" s="11">
        <f t="shared" si="6"/>
        <v>-2887.3754141090276</v>
      </c>
      <c r="Q18" s="65">
        <v>14</v>
      </c>
      <c r="R18" s="66">
        <f>Inputs!H21</f>
        <v>2.13E-4</v>
      </c>
    </row>
    <row r="19" spans="1:18" x14ac:dyDescent="0.25">
      <c r="A19">
        <f t="shared" si="2"/>
        <v>94</v>
      </c>
      <c r="B19">
        <v>15</v>
      </c>
      <c r="C19" s="12">
        <f t="shared" si="3"/>
        <v>0.16819400000000001</v>
      </c>
      <c r="D19" s="10">
        <f t="shared" si="4"/>
        <v>0.83180600000000005</v>
      </c>
      <c r="E19" s="198">
        <f>IF(B19&lt;=$C$2,1,IF(B19=$C$2+1,PRODUCT($D$5:D19),E18*D19))</f>
        <v>1</v>
      </c>
      <c r="F19" s="10">
        <f t="shared" si="0"/>
        <v>0.55526450271327477</v>
      </c>
      <c r="G19" s="10">
        <f t="shared" si="5"/>
        <v>0.55526450271327477</v>
      </c>
      <c r="I19" s="13">
        <f t="shared" si="1"/>
        <v>5000</v>
      </c>
      <c r="J19" s="11">
        <f>(SUM(G20:$G$79)*$I$1)</f>
        <v>2059.7591340244558</v>
      </c>
      <c r="K19" s="11">
        <f t="shared" si="6"/>
        <v>-2776.3225135663747</v>
      </c>
      <c r="Q19" s="65">
        <v>15</v>
      </c>
      <c r="R19" s="66">
        <f>Inputs!H22</f>
        <v>2.5399999999999999E-4</v>
      </c>
    </row>
    <row r="20" spans="1:18" x14ac:dyDescent="0.25">
      <c r="A20">
        <f t="shared" si="2"/>
        <v>95</v>
      </c>
      <c r="B20">
        <v>16</v>
      </c>
      <c r="C20" s="12">
        <f t="shared" si="3"/>
        <v>0.18526000000000001</v>
      </c>
      <c r="D20" s="10">
        <f t="shared" si="4"/>
        <v>0.81474000000000002</v>
      </c>
      <c r="E20" s="198">
        <f>IF(B20&lt;=$C$2,1,IF(B20=$C$2+1,PRODUCT($D$5:D20),E19*D20))</f>
        <v>0.2075835249107347</v>
      </c>
      <c r="F20" s="10">
        <f t="shared" si="0"/>
        <v>0.53390817568584104</v>
      </c>
      <c r="G20" s="10">
        <f t="shared" si="5"/>
        <v>0.1108305410875267</v>
      </c>
      <c r="I20" s="13">
        <f t="shared" si="1"/>
        <v>1037.9176245536735</v>
      </c>
      <c r="J20" s="11">
        <f>(SUM(G21:$G$79)*$I$1)</f>
        <v>1505.6064285868224</v>
      </c>
      <c r="K20" s="11">
        <f t="shared" si="6"/>
        <v>-554.15270543763336</v>
      </c>
      <c r="Q20" s="65">
        <v>16</v>
      </c>
      <c r="R20" s="66">
        <f>Inputs!H23</f>
        <v>2.9300000000000002E-4</v>
      </c>
    </row>
    <row r="21" spans="1:18" x14ac:dyDescent="0.25">
      <c r="A21">
        <f t="shared" si="2"/>
        <v>96</v>
      </c>
      <c r="B21">
        <v>17</v>
      </c>
      <c r="C21" s="12">
        <f t="shared" si="3"/>
        <v>0.197322</v>
      </c>
      <c r="D21" s="10">
        <f t="shared" si="4"/>
        <v>0.802678</v>
      </c>
      <c r="E21" s="198">
        <f>IF(B21&lt;=$C$2,1,IF(B21=$C$2+1,PRODUCT($D$5:D21),E20*D21))</f>
        <v>0.16662272860829871</v>
      </c>
      <c r="F21" s="10">
        <f t="shared" si="0"/>
        <v>0.51337324585177024</v>
      </c>
      <c r="G21" s="10">
        <f t="shared" si="5"/>
        <v>8.5539651018320922E-2</v>
      </c>
      <c r="I21" s="13">
        <f t="shared" si="1"/>
        <v>833.11364304149356</v>
      </c>
      <c r="J21" s="11">
        <f>(SUM(G22:$G$79)*$I$1)</f>
        <v>1077.9081734952174</v>
      </c>
      <c r="K21" s="11">
        <f t="shared" si="6"/>
        <v>-427.69825509160501</v>
      </c>
      <c r="Q21" s="65">
        <v>17</v>
      </c>
      <c r="R21" s="66">
        <f>Inputs!H24</f>
        <v>3.28E-4</v>
      </c>
    </row>
    <row r="22" spans="1:18" x14ac:dyDescent="0.25">
      <c r="A22">
        <f t="shared" si="2"/>
        <v>97</v>
      </c>
      <c r="B22">
        <v>18</v>
      </c>
      <c r="C22" s="12">
        <f t="shared" si="3"/>
        <v>0.214751</v>
      </c>
      <c r="D22" s="10">
        <f t="shared" si="4"/>
        <v>0.78524899999999997</v>
      </c>
      <c r="E22" s="198">
        <f>IF(B22&lt;=$C$2,1,IF(B22=$C$2+1,PRODUCT($D$5:D22),E21*D22))</f>
        <v>0.13084033101693796</v>
      </c>
      <c r="F22" s="10">
        <f t="shared" si="0"/>
        <v>0.49362812101131748</v>
      </c>
      <c r="G22" s="10">
        <f t="shared" si="5"/>
        <v>6.4586466752389882E-2</v>
      </c>
      <c r="I22" s="13">
        <f t="shared" si="1"/>
        <v>654.20165508468983</v>
      </c>
      <c r="J22" s="11">
        <f>(SUM(G23:$G$79)*$I$1)</f>
        <v>754.97583973326812</v>
      </c>
      <c r="K22" s="11">
        <f t="shared" si="6"/>
        <v>-322.93233376194928</v>
      </c>
      <c r="Q22" s="65">
        <v>18</v>
      </c>
      <c r="R22" s="66">
        <f>Inputs!H25</f>
        <v>3.59E-4</v>
      </c>
    </row>
    <row r="23" spans="1:18" x14ac:dyDescent="0.25">
      <c r="A23">
        <f t="shared" si="2"/>
        <v>98</v>
      </c>
      <c r="B23">
        <v>19</v>
      </c>
      <c r="C23" s="12">
        <f t="shared" si="3"/>
        <v>0.23250699999999999</v>
      </c>
      <c r="D23" s="10">
        <f t="shared" si="4"/>
        <v>0.76749299999999998</v>
      </c>
      <c r="E23" s="198">
        <f>IF(B23&lt;=$C$2,1,IF(B23=$C$2+1,PRODUCT($D$5:D23),E22*D23))</f>
        <v>0.10041903817318276</v>
      </c>
      <c r="F23" s="10">
        <f t="shared" si="0"/>
        <v>0.47464242404934376</v>
      </c>
      <c r="G23" s="10">
        <f t="shared" si="5"/>
        <v>4.766313569922305E-2</v>
      </c>
      <c r="I23" s="13">
        <f t="shared" si="1"/>
        <v>502.09519086591382</v>
      </c>
      <c r="J23" s="11">
        <f>(SUM(G24:$G$79)*$I$1)</f>
        <v>516.66016123715292</v>
      </c>
      <c r="K23" s="11">
        <f t="shared" si="6"/>
        <v>-238.3156784961152</v>
      </c>
      <c r="Q23" s="65">
        <v>19</v>
      </c>
      <c r="R23" s="66">
        <f>Inputs!H26</f>
        <v>3.8699999999999997E-4</v>
      </c>
    </row>
    <row r="24" spans="1:18" x14ac:dyDescent="0.25">
      <c r="A24">
        <f t="shared" si="2"/>
        <v>99</v>
      </c>
      <c r="B24">
        <v>20</v>
      </c>
      <c r="C24" s="12">
        <f t="shared" si="3"/>
        <v>0.25039699999999998</v>
      </c>
      <c r="D24" s="10">
        <f t="shared" si="4"/>
        <v>0.74960300000000002</v>
      </c>
      <c r="E24" s="198">
        <f>IF(B24&lt;=$C$2,1,IF(B24=$C$2+1,PRODUCT($D$5:D24),E23*D24))</f>
        <v>7.5274412271732316E-2</v>
      </c>
      <c r="F24" s="10">
        <f t="shared" si="0"/>
        <v>0.45638694620129205</v>
      </c>
      <c r="G24" s="10">
        <f t="shared" si="5"/>
        <v>3.4354259143792976E-2</v>
      </c>
      <c r="I24" s="13">
        <f t="shared" si="1"/>
        <v>376.3720613586616</v>
      </c>
      <c r="J24" s="11">
        <f>(SUM(G25:$G$79)*$I$1)</f>
        <v>344.88886551818808</v>
      </c>
      <c r="K24" s="11">
        <f t="shared" si="6"/>
        <v>-171.77129571896484</v>
      </c>
      <c r="Q24" s="65">
        <v>20</v>
      </c>
      <c r="R24" s="66">
        <f>Inputs!H27</f>
        <v>4.1399999999999998E-4</v>
      </c>
    </row>
    <row r="25" spans="1:18" x14ac:dyDescent="0.25">
      <c r="A25">
        <f t="shared" si="2"/>
        <v>100</v>
      </c>
      <c r="B25">
        <v>21</v>
      </c>
      <c r="C25" s="12">
        <f t="shared" si="3"/>
        <v>0.26860699999999998</v>
      </c>
      <c r="D25" s="10">
        <f t="shared" si="4"/>
        <v>0.73139299999999996</v>
      </c>
      <c r="E25" s="198">
        <f>IF(B25&lt;=$C$2,1,IF(B25=$C$2+1,PRODUCT($D$5:D25),E24*D25))</f>
        <v>5.5055178214659113E-2</v>
      </c>
      <c r="F25" s="10">
        <f t="shared" si="0"/>
        <v>0.43883360211662686</v>
      </c>
      <c r="G25" s="10">
        <f t="shared" si="5"/>
        <v>2.4160062171111701E-2</v>
      </c>
      <c r="I25" s="13">
        <f t="shared" si="1"/>
        <v>275.27589107329555</v>
      </c>
      <c r="J25" s="11">
        <f>(SUM(G26:$G$79)*$I$1)</f>
        <v>224.08855466262943</v>
      </c>
      <c r="K25" s="11">
        <f t="shared" si="6"/>
        <v>-120.80031085555865</v>
      </c>
      <c r="Q25" s="65">
        <v>21</v>
      </c>
      <c r="R25" s="66">
        <f>Inputs!H28</f>
        <v>4.4299999999999998E-4</v>
      </c>
    </row>
    <row r="26" spans="1:18" x14ac:dyDescent="0.25">
      <c r="A26">
        <f t="shared" si="2"/>
        <v>101</v>
      </c>
      <c r="B26">
        <v>22</v>
      </c>
      <c r="C26" s="12">
        <f t="shared" si="3"/>
        <v>0.290016</v>
      </c>
      <c r="D26" s="10">
        <f t="shared" si="4"/>
        <v>0.70998399999999995</v>
      </c>
      <c r="E26" s="198">
        <f>IF(B26&lt;=$C$2,1,IF(B26=$C$2+1,PRODUCT($D$5:D26),E25*D26))</f>
        <v>3.9088295649556536E-2</v>
      </c>
      <c r="F26" s="10">
        <f t="shared" si="0"/>
        <v>0.42195538665060278</v>
      </c>
      <c r="G26" s="10">
        <f t="shared" si="5"/>
        <v>1.6493516904321704E-2</v>
      </c>
      <c r="I26" s="13">
        <f t="shared" si="1"/>
        <v>195.44147824778267</v>
      </c>
      <c r="J26" s="11">
        <f>(SUM(G27:$G$79)*$I$1)</f>
        <v>141.62097014102099</v>
      </c>
      <c r="K26" s="11">
        <f t="shared" si="6"/>
        <v>-82.467584521608444</v>
      </c>
      <c r="Q26" s="65">
        <v>22</v>
      </c>
      <c r="R26" s="66">
        <f>Inputs!H29</f>
        <v>4.73E-4</v>
      </c>
    </row>
    <row r="27" spans="1:18" x14ac:dyDescent="0.25">
      <c r="A27">
        <f t="shared" si="2"/>
        <v>102</v>
      </c>
      <c r="B27">
        <v>23</v>
      </c>
      <c r="C27" s="12">
        <f t="shared" si="3"/>
        <v>0.31184899999999999</v>
      </c>
      <c r="D27" s="10">
        <f t="shared" si="4"/>
        <v>0.68815099999999996</v>
      </c>
      <c r="E27" s="198">
        <f>IF(B27&lt;=$C$2,1,IF(B27=$C$2+1,PRODUCT($D$5:D27),E26*D27))</f>
        <v>2.6898649739537976E-2</v>
      </c>
      <c r="F27" s="10">
        <f t="shared" si="0"/>
        <v>0.40572633331788732</v>
      </c>
      <c r="G27" s="10">
        <f t="shared" si="5"/>
        <v>1.0913490530024888E-2</v>
      </c>
      <c r="I27" s="13">
        <f t="shared" si="1"/>
        <v>134.49324869768989</v>
      </c>
      <c r="J27" s="11">
        <f>(SUM(G28:$G$79)*$I$1)</f>
        <v>87.053517490896553</v>
      </c>
      <c r="K27" s="11">
        <f t="shared" si="6"/>
        <v>-54.567452650124437</v>
      </c>
      <c r="Q27" s="65">
        <v>23</v>
      </c>
      <c r="R27" s="66">
        <f>Inputs!H30</f>
        <v>5.13E-4</v>
      </c>
    </row>
    <row r="28" spans="1:18" x14ac:dyDescent="0.25">
      <c r="A28">
        <f t="shared" si="2"/>
        <v>103</v>
      </c>
      <c r="B28">
        <v>24</v>
      </c>
      <c r="C28" s="12">
        <f t="shared" si="3"/>
        <v>0.33396199999999998</v>
      </c>
      <c r="D28" s="10">
        <f t="shared" si="4"/>
        <v>0.66603800000000002</v>
      </c>
      <c r="E28" s="198">
        <f>IF(B28&lt;=$C$2,1,IF(B28=$C$2+1,PRODUCT($D$5:D28),E27*D28))</f>
        <v>1.7915522875222394E-2</v>
      </c>
      <c r="F28" s="10">
        <f t="shared" si="0"/>
        <v>0.39012147434412242</v>
      </c>
      <c r="G28" s="10">
        <f t="shared" si="5"/>
        <v>6.989230197727612E-3</v>
      </c>
      <c r="I28" s="13">
        <f t="shared" si="1"/>
        <v>89.577614376111967</v>
      </c>
      <c r="J28" s="11">
        <f>(SUM(G29:$G$79)*$I$1)</f>
        <v>52.107366502258479</v>
      </c>
      <c r="K28" s="11">
        <f t="shared" si="6"/>
        <v>-34.946150988638074</v>
      </c>
      <c r="Q28" s="65">
        <v>24</v>
      </c>
      <c r="R28" s="66">
        <f>Inputs!H31</f>
        <v>5.5400000000000002E-4</v>
      </c>
    </row>
    <row r="29" spans="1:18" x14ac:dyDescent="0.25">
      <c r="A29">
        <f t="shared" si="2"/>
        <v>104</v>
      </c>
      <c r="B29">
        <v>25</v>
      </c>
      <c r="C29" s="12">
        <f t="shared" si="3"/>
        <v>0.356207</v>
      </c>
      <c r="D29" s="10">
        <f t="shared" si="4"/>
        <v>0.64379300000000006</v>
      </c>
      <c r="E29" s="198">
        <f>IF(B29&lt;=$C$2,1,IF(B29=$C$2+1,PRODUCT($D$5:D29),E28*D29))</f>
        <v>1.1533888218408051E-2</v>
      </c>
      <c r="F29" s="10">
        <f t="shared" si="0"/>
        <v>0.37511680225396377</v>
      </c>
      <c r="G29" s="10">
        <f t="shared" si="5"/>
        <v>4.3265552660438954E-3</v>
      </c>
      <c r="I29" s="13">
        <f t="shared" si="1"/>
        <v>57.669441092040259</v>
      </c>
      <c r="J29" s="11">
        <f>(SUM(G30:$G$79)*$I$1)</f>
        <v>30.474590172038994</v>
      </c>
      <c r="K29" s="11">
        <f t="shared" si="6"/>
        <v>-21.632776330219485</v>
      </c>
      <c r="Q29" s="65">
        <v>25</v>
      </c>
      <c r="R29" s="66">
        <f>Inputs!H32</f>
        <v>6.02E-4</v>
      </c>
    </row>
    <row r="30" spans="1:18" x14ac:dyDescent="0.25">
      <c r="A30">
        <f t="shared" si="2"/>
        <v>105</v>
      </c>
      <c r="B30">
        <v>26</v>
      </c>
      <c r="C30" s="12">
        <f t="shared" si="3"/>
        <v>0.38</v>
      </c>
      <c r="D30" s="10">
        <f t="shared" si="4"/>
        <v>0.62</v>
      </c>
      <c r="E30" s="198">
        <f>IF(B30&lt;=$C$2,1,IF(B30=$C$2+1,PRODUCT($D$5:D30),E29*D30))</f>
        <v>7.1510106954129913E-3</v>
      </c>
      <c r="F30" s="10">
        <f t="shared" si="0"/>
        <v>0.36068923293650368</v>
      </c>
      <c r="G30" s="10">
        <f t="shared" si="5"/>
        <v>2.5792925624492456E-3</v>
      </c>
      <c r="I30" s="13">
        <f t="shared" si="1"/>
        <v>35.755053477064955</v>
      </c>
      <c r="J30" s="11">
        <f>(SUM(G31:$G$79)*$I$1)</f>
        <v>17.57812735979277</v>
      </c>
      <c r="K30" s="11">
        <f t="shared" si="6"/>
        <v>-12.896462812246224</v>
      </c>
      <c r="Q30" s="65">
        <v>26</v>
      </c>
      <c r="R30" s="66">
        <f>Inputs!H33</f>
        <v>6.5499999999999998E-4</v>
      </c>
    </row>
    <row r="31" spans="1:18" x14ac:dyDescent="0.25">
      <c r="A31">
        <f t="shared" si="2"/>
        <v>106</v>
      </c>
      <c r="B31">
        <v>27</v>
      </c>
      <c r="C31" s="12">
        <f t="shared" si="3"/>
        <v>0.4</v>
      </c>
      <c r="D31" s="10">
        <f t="shared" si="4"/>
        <v>0.6</v>
      </c>
      <c r="E31" s="198">
        <f>IF(B31&lt;=$C$2,1,IF(B31=$C$2+1,PRODUCT($D$5:D31),E30*D31))</f>
        <v>4.2906064172477942E-3</v>
      </c>
      <c r="F31" s="10">
        <f t="shared" si="0"/>
        <v>0.3468165701312535</v>
      </c>
      <c r="G31" s="10">
        <f t="shared" si="5"/>
        <v>1.4880534014130259E-3</v>
      </c>
      <c r="I31" s="13">
        <f t="shared" si="1"/>
        <v>21.45303208623897</v>
      </c>
      <c r="J31" s="11">
        <f>(SUM(G32:$G$79)*$I$1)</f>
        <v>10.137860352727639</v>
      </c>
      <c r="K31" s="11">
        <f t="shared" si="6"/>
        <v>-7.4402670070651311</v>
      </c>
      <c r="Q31" s="65">
        <v>27</v>
      </c>
      <c r="R31" s="66">
        <f>Inputs!H34</f>
        <v>6.8800000000000003E-4</v>
      </c>
    </row>
    <row r="32" spans="1:18" x14ac:dyDescent="0.25">
      <c r="A32">
        <f t="shared" si="2"/>
        <v>107</v>
      </c>
      <c r="B32">
        <v>28</v>
      </c>
      <c r="C32" s="12">
        <f t="shared" si="3"/>
        <v>0.4</v>
      </c>
      <c r="D32" s="10">
        <f t="shared" si="4"/>
        <v>0.6</v>
      </c>
      <c r="E32" s="198">
        <f>IF(B32&lt;=$C$2,1,IF(B32=$C$2+1,PRODUCT($D$5:D32),E31*D32))</f>
        <v>2.5743638503486765E-3</v>
      </c>
      <c r="F32" s="10">
        <f t="shared" si="0"/>
        <v>0.3334774712800514</v>
      </c>
      <c r="G32" s="10">
        <f t="shared" si="5"/>
        <v>8.5849234696905329E-4</v>
      </c>
      <c r="I32" s="13">
        <f t="shared" si="1"/>
        <v>12.871819251743382</v>
      </c>
      <c r="J32" s="11">
        <f>(SUM(G33:$G$79)*$I$1)</f>
        <v>5.8453986178823722</v>
      </c>
      <c r="K32" s="11">
        <f t="shared" si="6"/>
        <v>-4.2924617348452667</v>
      </c>
      <c r="Q32" s="65">
        <v>28</v>
      </c>
      <c r="R32" s="66">
        <f>Inputs!H35</f>
        <v>7.1000000000000002E-4</v>
      </c>
    </row>
    <row r="33" spans="1:18" x14ac:dyDescent="0.25">
      <c r="A33">
        <f t="shared" si="2"/>
        <v>108</v>
      </c>
      <c r="B33">
        <v>29</v>
      </c>
      <c r="C33" s="12">
        <f t="shared" si="3"/>
        <v>0.4</v>
      </c>
      <c r="D33" s="10">
        <f t="shared" si="4"/>
        <v>0.6</v>
      </c>
      <c r="E33" s="198">
        <f>IF(B33&lt;=$C$2,1,IF(B33=$C$2+1,PRODUCT($D$5:D33),E32*D33))</f>
        <v>1.544618310209206E-3</v>
      </c>
      <c r="F33" s="10">
        <f t="shared" si="0"/>
        <v>0.32065141469235708</v>
      </c>
      <c r="G33" s="10">
        <f t="shared" si="5"/>
        <v>4.9528404632829994E-4</v>
      </c>
      <c r="I33" s="13">
        <f t="shared" si="1"/>
        <v>7.7230915510460294</v>
      </c>
      <c r="J33" s="11">
        <f>(SUM(G34:$G$79)*$I$1)</f>
        <v>3.3689783862408733</v>
      </c>
      <c r="K33" s="11">
        <f t="shared" si="6"/>
        <v>-2.4764202316414989</v>
      </c>
      <c r="Q33" s="65">
        <v>29</v>
      </c>
      <c r="R33" s="66">
        <f>Inputs!H36</f>
        <v>7.27E-4</v>
      </c>
    </row>
    <row r="34" spans="1:18" x14ac:dyDescent="0.25">
      <c r="A34">
        <f t="shared" si="2"/>
        <v>109</v>
      </c>
      <c r="B34">
        <v>30</v>
      </c>
      <c r="C34" s="12">
        <f t="shared" si="3"/>
        <v>0.4</v>
      </c>
      <c r="D34" s="10">
        <f t="shared" si="4"/>
        <v>0.6</v>
      </c>
      <c r="E34" s="198">
        <f>IF(B34&lt;=$C$2,1,IF(B34=$C$2+1,PRODUCT($D$5:D34),E33*D34))</f>
        <v>9.2677098612552352E-4</v>
      </c>
      <c r="F34" s="10">
        <f t="shared" si="0"/>
        <v>0.30831866797342034</v>
      </c>
      <c r="G34" s="10">
        <f t="shared" si="5"/>
        <v>2.8574079595863465E-4</v>
      </c>
      <c r="I34" s="13">
        <f t="shared" si="1"/>
        <v>4.633854930627618</v>
      </c>
      <c r="J34" s="11">
        <f>(SUM(G35:$G$79)*$I$1)</f>
        <v>1.9402744064477007</v>
      </c>
      <c r="K34" s="11">
        <f t="shared" si="6"/>
        <v>-1.4287039797931727</v>
      </c>
      <c r="Q34" s="65">
        <v>30</v>
      </c>
      <c r="R34" s="66">
        <f>Inputs!H37</f>
        <v>7.4100000000000001E-4</v>
      </c>
    </row>
    <row r="35" spans="1:18" x14ac:dyDescent="0.25">
      <c r="A35">
        <f t="shared" si="2"/>
        <v>110</v>
      </c>
      <c r="B35">
        <v>31</v>
      </c>
      <c r="C35" s="12">
        <f t="shared" si="3"/>
        <v>0.4</v>
      </c>
      <c r="D35" s="10">
        <f t="shared" si="4"/>
        <v>0.6</v>
      </c>
      <c r="E35" s="198">
        <f>IF(B35&lt;=$C$2,1,IF(B35=$C$2+1,PRODUCT($D$5:D35),E34*D35))</f>
        <v>5.5606259167531407E-4</v>
      </c>
      <c r="F35" s="10">
        <f t="shared" si="0"/>
        <v>0.29646025766675027</v>
      </c>
      <c r="G35" s="10">
        <f t="shared" si="5"/>
        <v>1.6485045920690454E-4</v>
      </c>
      <c r="I35" s="13">
        <f t="shared" si="1"/>
        <v>2.7803129583765704</v>
      </c>
      <c r="J35" s="11">
        <f>(SUM(G36:$G$79)*$I$1)</f>
        <v>1.1160221104131776</v>
      </c>
      <c r="K35" s="11">
        <f t="shared" si="6"/>
        <v>-0.8242522960345231</v>
      </c>
      <c r="Q35" s="65">
        <v>31</v>
      </c>
      <c r="R35" s="66">
        <f>Inputs!H38</f>
        <v>7.5100000000000004E-4</v>
      </c>
    </row>
    <row r="36" spans="1:18" x14ac:dyDescent="0.25">
      <c r="A36">
        <f t="shared" si="2"/>
        <v>111</v>
      </c>
      <c r="B36">
        <v>32</v>
      </c>
      <c r="C36" s="12">
        <f t="shared" si="3"/>
        <v>0.4</v>
      </c>
      <c r="D36" s="10">
        <f t="shared" si="4"/>
        <v>0.6</v>
      </c>
      <c r="E36" s="198">
        <f>IF(B36&lt;=$C$2,1,IF(B36=$C$2+1,PRODUCT($D$5:D36),E35*D36))</f>
        <v>3.3363755500518842E-4</v>
      </c>
      <c r="F36" s="10">
        <f t="shared" si="0"/>
        <v>0.28505794006418295</v>
      </c>
      <c r="G36" s="10">
        <f t="shared" si="5"/>
        <v>9.510603415782954E-5</v>
      </c>
      <c r="I36" s="13">
        <f t="shared" si="1"/>
        <v>1.6681877750259422</v>
      </c>
      <c r="J36" s="11">
        <f>(SUM(G37:$G$79)*$I$1)</f>
        <v>0.64049193962402962</v>
      </c>
      <c r="K36" s="11">
        <f t="shared" si="6"/>
        <v>-0.47553017078914794</v>
      </c>
      <c r="Q36" s="65">
        <v>32</v>
      </c>
      <c r="R36" s="66">
        <f>Inputs!H39</f>
        <v>7.54E-4</v>
      </c>
    </row>
    <row r="37" spans="1:18" x14ac:dyDescent="0.25">
      <c r="A37">
        <f t="shared" si="2"/>
        <v>112</v>
      </c>
      <c r="B37">
        <v>33</v>
      </c>
      <c r="C37" s="12">
        <f t="shared" si="3"/>
        <v>0.4</v>
      </c>
      <c r="D37" s="10">
        <f t="shared" si="4"/>
        <v>0.6</v>
      </c>
      <c r="E37" s="198">
        <f>IF(B37&lt;=$C$2,1,IF(B37=$C$2+1,PRODUCT($D$5:D37),E36*D37))</f>
        <v>2.0018253300311306E-4</v>
      </c>
      <c r="F37" s="10">
        <f t="shared" si="0"/>
        <v>0.27409417313863743</v>
      </c>
      <c r="G37" s="10">
        <f t="shared" si="5"/>
        <v>5.4868865860286272E-5</v>
      </c>
      <c r="I37" s="13">
        <f t="shared" si="1"/>
        <v>1.0009126650155653</v>
      </c>
      <c r="J37" s="11">
        <f>(SUM(G38:$G$79)*$I$1)</f>
        <v>0.3661476103225984</v>
      </c>
      <c r="K37" s="11">
        <f t="shared" si="6"/>
        <v>-0.27434432930143121</v>
      </c>
      <c r="Q37" s="65">
        <v>33</v>
      </c>
      <c r="R37" s="66">
        <f>Inputs!H40</f>
        <v>7.5600000000000005E-4</v>
      </c>
    </row>
    <row r="38" spans="1:18" x14ac:dyDescent="0.25">
      <c r="A38">
        <f t="shared" si="2"/>
        <v>113</v>
      </c>
      <c r="B38">
        <v>34</v>
      </c>
      <c r="C38" s="12">
        <f t="shared" si="3"/>
        <v>0.4</v>
      </c>
      <c r="D38" s="10">
        <f t="shared" si="4"/>
        <v>0.6</v>
      </c>
      <c r="E38" s="198">
        <f>IF(B38&lt;=$C$2,1,IF(B38=$C$2+1,PRODUCT($D$5:D38),E37*D38))</f>
        <v>1.2010951980186783E-4</v>
      </c>
      <c r="F38" s="10">
        <f t="shared" si="0"/>
        <v>0.26355208955638215</v>
      </c>
      <c r="G38" s="10">
        <f t="shared" si="5"/>
        <v>3.1655114919395927E-5</v>
      </c>
      <c r="I38" s="13">
        <f t="shared" si="1"/>
        <v>0.60054759900933918</v>
      </c>
      <c r="J38" s="11">
        <f>(SUM(G39:$G$79)*$I$1)</f>
        <v>0.2078720357256188</v>
      </c>
      <c r="K38" s="11">
        <f t="shared" si="6"/>
        <v>-0.15827557459697961</v>
      </c>
      <c r="Q38" s="65">
        <v>34</v>
      </c>
      <c r="R38" s="66">
        <f>Inputs!H41</f>
        <v>7.5600000000000005E-4</v>
      </c>
    </row>
    <row r="39" spans="1:18" x14ac:dyDescent="0.25">
      <c r="A39">
        <f t="shared" si="2"/>
        <v>114</v>
      </c>
      <c r="B39">
        <v>35</v>
      </c>
      <c r="C39" s="12">
        <f t="shared" si="3"/>
        <v>0.4</v>
      </c>
      <c r="D39" s="10">
        <f t="shared" si="4"/>
        <v>0.6</v>
      </c>
      <c r="E39" s="198">
        <f>IF(B39&lt;=$C$2,1,IF(B39=$C$2+1,PRODUCT($D$5:D39),E38*D39))</f>
        <v>7.2065711881120698E-5</v>
      </c>
      <c r="F39" s="10">
        <f t="shared" si="0"/>
        <v>0.25341547072729048</v>
      </c>
      <c r="G39" s="10">
        <f t="shared" si="5"/>
        <v>1.8262566299651492E-5</v>
      </c>
      <c r="I39" s="13">
        <f t="shared" si="1"/>
        <v>0.36032855940560349</v>
      </c>
      <c r="J39" s="11">
        <f>(SUM(G40:$G$79)*$I$1)</f>
        <v>0.11655920422736132</v>
      </c>
      <c r="K39" s="11">
        <f t="shared" si="6"/>
        <v>-9.1312831498257474E-2</v>
      </c>
      <c r="Q39" s="65">
        <v>35</v>
      </c>
      <c r="R39" s="66">
        <f>Inputs!H42</f>
        <v>7.5600000000000005E-4</v>
      </c>
    </row>
    <row r="40" spans="1:18" x14ac:dyDescent="0.25">
      <c r="A40">
        <f t="shared" si="2"/>
        <v>115</v>
      </c>
      <c r="B40">
        <v>36</v>
      </c>
      <c r="C40" s="12">
        <f t="shared" si="3"/>
        <v>0.4</v>
      </c>
      <c r="D40" s="10">
        <f t="shared" si="4"/>
        <v>0.6</v>
      </c>
      <c r="E40" s="198">
        <f>IF(B40&lt;=$C$2,1,IF(B40=$C$2+1,PRODUCT($D$5:D40),E39*D40))</f>
        <v>4.3239427128672414E-5</v>
      </c>
      <c r="F40" s="10">
        <f t="shared" si="0"/>
        <v>0.24366872185316396</v>
      </c>
      <c r="G40" s="10">
        <f t="shared" si="5"/>
        <v>1.0536095942106631E-5</v>
      </c>
      <c r="I40" s="13">
        <f t="shared" si="1"/>
        <v>0.21619713564336207</v>
      </c>
      <c r="J40" s="11">
        <f>(SUM(G41:$G$79)*$I$1)</f>
        <v>6.3878724516828189E-2</v>
      </c>
      <c r="K40" s="11">
        <f t="shared" si="6"/>
        <v>-5.2680479710533135E-2</v>
      </c>
      <c r="Q40" s="65">
        <v>36</v>
      </c>
      <c r="R40" s="66">
        <f>Inputs!H43</f>
        <v>7.5600000000000005E-4</v>
      </c>
    </row>
    <row r="41" spans="1:18" x14ac:dyDescent="0.25">
      <c r="A41">
        <f t="shared" si="2"/>
        <v>116</v>
      </c>
      <c r="B41">
        <v>37</v>
      </c>
      <c r="C41" s="12">
        <f t="shared" si="3"/>
        <v>0.4</v>
      </c>
      <c r="D41" s="10">
        <f t="shared" si="4"/>
        <v>0.6</v>
      </c>
      <c r="E41" s="198">
        <f>IF(B41&lt;=$C$2,1,IF(B41=$C$2+1,PRODUCT($D$5:D41),E40*D41))</f>
        <v>2.5943656277203448E-5</v>
      </c>
      <c r="F41" s="10">
        <f t="shared" si="0"/>
        <v>0.23429684793573452</v>
      </c>
      <c r="G41" s="10">
        <f t="shared" si="5"/>
        <v>6.0785168896769005E-6</v>
      </c>
      <c r="I41" s="13">
        <f t="shared" si="1"/>
        <v>0.12971828138601724</v>
      </c>
      <c r="J41" s="11">
        <f>(SUM(G42:$G$79)*$I$1)</f>
        <v>3.3486140068443672E-2</v>
      </c>
      <c r="K41" s="11">
        <f t="shared" si="6"/>
        <v>-3.0392584448384517E-2</v>
      </c>
      <c r="Q41" s="65">
        <v>37</v>
      </c>
      <c r="R41" s="66">
        <f>Inputs!H44</f>
        <v>7.5600000000000005E-4</v>
      </c>
    </row>
    <row r="42" spans="1:18" x14ac:dyDescent="0.25">
      <c r="A42">
        <f t="shared" si="2"/>
        <v>117</v>
      </c>
      <c r="B42">
        <v>38</v>
      </c>
      <c r="C42" s="12">
        <f t="shared" si="3"/>
        <v>0.4</v>
      </c>
      <c r="D42" s="10">
        <f t="shared" si="4"/>
        <v>0.6</v>
      </c>
      <c r="E42" s="198">
        <f>IF(B42&lt;=$C$2,1,IF(B42=$C$2+1,PRODUCT($D$5:D42),E41*D42))</f>
        <v>1.5566193766322069E-5</v>
      </c>
      <c r="F42" s="10">
        <f t="shared" si="0"/>
        <v>0.22528543070743706</v>
      </c>
      <c r="G42" s="10">
        <f t="shared" si="5"/>
        <v>3.5068366671212894E-6</v>
      </c>
      <c r="I42" s="13">
        <f t="shared" si="1"/>
        <v>7.783096883161035E-2</v>
      </c>
      <c r="J42" s="11">
        <f>(SUM(G43:$G$79)*$I$1)</f>
        <v>1.5951956732837225E-2</v>
      </c>
      <c r="K42" s="11">
        <f t="shared" si="6"/>
        <v>-1.7534183335606447E-2</v>
      </c>
      <c r="Q42" s="65">
        <v>38</v>
      </c>
      <c r="R42" s="66">
        <f>Inputs!H45</f>
        <v>7.5600000000000005E-4</v>
      </c>
    </row>
    <row r="43" spans="1:18" x14ac:dyDescent="0.25">
      <c r="A43">
        <f t="shared" si="2"/>
        <v>118</v>
      </c>
      <c r="B43">
        <v>39</v>
      </c>
      <c r="C43" s="12">
        <f t="shared" si="3"/>
        <v>0.4</v>
      </c>
      <c r="D43" s="10">
        <f t="shared" si="4"/>
        <v>0.6</v>
      </c>
      <c r="E43" s="198">
        <f>IF(B43&lt;=$C$2,1,IF(B43=$C$2+1,PRODUCT($D$5:D43),E42*D43))</f>
        <v>9.3397162597932416E-6</v>
      </c>
      <c r="F43" s="10">
        <f t="shared" si="0"/>
        <v>0.21662060644945874</v>
      </c>
      <c r="G43" s="10">
        <f t="shared" si="5"/>
        <v>2.0231750002622824E-6</v>
      </c>
      <c r="I43" s="13">
        <f t="shared" si="1"/>
        <v>4.6698581298966209E-2</v>
      </c>
      <c r="J43" s="11">
        <f>(SUM(G44:$G$79)*$I$1)</f>
        <v>5.8360817315258121E-3</v>
      </c>
      <c r="K43" s="11">
        <f t="shared" si="6"/>
        <v>-1.0115875001311413E-2</v>
      </c>
      <c r="Q43" s="65">
        <v>39</v>
      </c>
      <c r="R43" s="66">
        <f>Inputs!H46</f>
        <v>8.0000000000000004E-4</v>
      </c>
    </row>
    <row r="44" spans="1:18" x14ac:dyDescent="0.25">
      <c r="A44">
        <f t="shared" si="2"/>
        <v>119</v>
      </c>
      <c r="B44">
        <v>40</v>
      </c>
      <c r="C44" s="12">
        <f t="shared" si="3"/>
        <v>0.4</v>
      </c>
      <c r="D44" s="10">
        <f t="shared" si="4"/>
        <v>0.6</v>
      </c>
      <c r="E44" s="198">
        <f>IF(B44&lt;=$C$2,1,IF(B44=$C$2+1,PRODUCT($D$5:D44),E43*D44))</f>
        <v>5.6038297558759448E-6</v>
      </c>
      <c r="F44" s="10">
        <f t="shared" si="0"/>
        <v>0.20828904466294101</v>
      </c>
      <c r="G44" s="10">
        <f t="shared" si="5"/>
        <v>1.1672163463051625E-6</v>
      </c>
      <c r="I44" s="13">
        <f t="shared" si="1"/>
        <v>2.8019148779379725E-2</v>
      </c>
      <c r="J44" s="11">
        <f>(SUM(G45:$G$79)*$I$1)</f>
        <v>0</v>
      </c>
      <c r="K44" s="11">
        <f t="shared" si="6"/>
        <v>-5.8360817315258121E-3</v>
      </c>
      <c r="Q44" s="65">
        <v>40</v>
      </c>
      <c r="R44" s="66">
        <f>Inputs!H47</f>
        <v>8.5899999999999995E-4</v>
      </c>
    </row>
    <row r="45" spans="1:18" x14ac:dyDescent="0.25">
      <c r="A45">
        <f t="shared" si="2"/>
        <v>120</v>
      </c>
      <c r="B45">
        <v>41</v>
      </c>
      <c r="C45" s="12">
        <f t="shared" si="3"/>
        <v>1</v>
      </c>
      <c r="D45" s="10">
        <f t="shared" si="4"/>
        <v>0</v>
      </c>
      <c r="E45" s="198">
        <f>IF(B45&lt;=$C$2,1,IF(B45=$C$2+1,PRODUCT($D$5:D45),E44*D45))</f>
        <v>0</v>
      </c>
      <c r="F45" s="10">
        <f t="shared" si="0"/>
        <v>0</v>
      </c>
      <c r="G45" s="10">
        <f t="shared" si="5"/>
        <v>0</v>
      </c>
      <c r="I45" s="13">
        <f t="shared" si="1"/>
        <v>0</v>
      </c>
      <c r="J45" s="11">
        <f>(SUM(G46:$G$79)*$I$1)</f>
        <v>0</v>
      </c>
      <c r="K45" s="11">
        <f t="shared" si="6"/>
        <v>0</v>
      </c>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c r="E133" s="35"/>
      <c r="F133" s="3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45">
    <cfRule type="cellIs" dxfId="17"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0"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148</v>
      </c>
      <c r="I1" s="3">
        <v>5000</v>
      </c>
      <c r="J1" s="181" t="s">
        <v>173</v>
      </c>
      <c r="L1" s="1"/>
      <c r="M1" s="4"/>
      <c r="N1" s="4"/>
      <c r="O1" s="4"/>
      <c r="P1" s="4"/>
      <c r="Q1" s="64"/>
      <c r="R1" s="28"/>
    </row>
    <row r="2" spans="1:18" ht="15.75" customHeight="1" thickBot="1" x14ac:dyDescent="0.3">
      <c r="B2" t="s">
        <v>227</v>
      </c>
      <c r="C2">
        <v>20</v>
      </c>
      <c r="F2" s="5">
        <f>'Asset and Liability Durations'!N25</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9.2771125370010115</v>
      </c>
      <c r="N3" s="10"/>
      <c r="O3" s="10"/>
      <c r="P3" s="10"/>
      <c r="Q3" s="31"/>
      <c r="R3" s="32"/>
    </row>
    <row r="4" spans="1:18" x14ac:dyDescent="0.25">
      <c r="A4">
        <v>79</v>
      </c>
      <c r="B4">
        <v>0</v>
      </c>
      <c r="C4" s="8"/>
      <c r="D4" s="7"/>
      <c r="E4" s="7"/>
      <c r="F4" s="7"/>
      <c r="G4" s="10">
        <v>1</v>
      </c>
      <c r="J4" s="11">
        <f>(SUM(G5:$G$79)*$I$1)</f>
        <v>68296.520590356609</v>
      </c>
      <c r="Q4" s="65">
        <v>0</v>
      </c>
      <c r="R4" s="66">
        <f>Inputs!H7</f>
        <v>1.6050000000000001E-3</v>
      </c>
    </row>
    <row r="5" spans="1:18" ht="15.75" thickBot="1" x14ac:dyDescent="0.3">
      <c r="A5">
        <f>B5+$A$4</f>
        <v>80</v>
      </c>
      <c r="B5">
        <v>1</v>
      </c>
      <c r="C5" s="12">
        <f>VLOOKUP(A5,$Q$4:$R$124,2,FALSE)</f>
        <v>3.3234E-2</v>
      </c>
      <c r="D5" s="10">
        <f>1-C5</f>
        <v>0.96676600000000001</v>
      </c>
      <c r="E5" s="198">
        <f>IF(B5&lt;=$C$2,1,IF(B5=$C$2+1,PRODUCT($D$5:D5),E4*D5))</f>
        <v>1</v>
      </c>
      <c r="F5" s="10">
        <f t="shared" ref="F5:F45" si="0">IF(D5=0,0,(1+$F$2)^-B5)</f>
        <v>0.96153846153846145</v>
      </c>
      <c r="G5" s="10">
        <f>F5*E5</f>
        <v>0.96153846153846145</v>
      </c>
      <c r="I5" s="13">
        <f t="shared" ref="I5:I45" si="1">E5*$I$1</f>
        <v>5000</v>
      </c>
      <c r="J5" s="11">
        <f>(SUM(G6:$G$79)*$I$1)</f>
        <v>63488.828282664297</v>
      </c>
      <c r="K5" s="11">
        <f>J5-J4</f>
        <v>-4807.6923076923122</v>
      </c>
      <c r="L5" s="14" t="s">
        <v>16</v>
      </c>
      <c r="M5" s="14" t="s">
        <v>17</v>
      </c>
      <c r="N5" s="14" t="s">
        <v>18</v>
      </c>
      <c r="O5" s="14" t="s">
        <v>47</v>
      </c>
      <c r="Q5" s="65">
        <v>1</v>
      </c>
      <c r="R5" s="66">
        <f>Inputs!H8</f>
        <v>4.0099999999999999E-4</v>
      </c>
    </row>
    <row r="6" spans="1:18" x14ac:dyDescent="0.25">
      <c r="A6">
        <f t="shared" ref="A6:A45" si="2">B6+$A$4</f>
        <v>81</v>
      </c>
      <c r="B6">
        <v>2</v>
      </c>
      <c r="C6" s="12">
        <f t="shared" ref="C6:C45" si="3">VLOOKUP(A6,$Q$4:$R$124,2,FALSE)</f>
        <v>3.7532999999999997E-2</v>
      </c>
      <c r="D6" s="10">
        <f t="shared" ref="D6:D45" si="4">1-C6</f>
        <v>0.96246699999999996</v>
      </c>
      <c r="E6" s="198">
        <f>IF(B6&lt;=$C$2,1,IF(B6=$C$2+1,PRODUCT($D$5:D6),E5*D6))</f>
        <v>1</v>
      </c>
      <c r="F6" s="10">
        <f t="shared" si="0"/>
        <v>0.92455621301775137</v>
      </c>
      <c r="G6" s="10">
        <f t="shared" ref="G6:G45" si="5">F6*E6</f>
        <v>0.92455621301775137</v>
      </c>
      <c r="I6" s="13">
        <f t="shared" si="1"/>
        <v>5000</v>
      </c>
      <c r="J6" s="11">
        <f>(SUM(G7:$G$79)*$I$1)</f>
        <v>58866.047217575535</v>
      </c>
      <c r="K6" s="11">
        <f t="shared" ref="K6:K45" si="6">J6-J5</f>
        <v>-4622.7810650887623</v>
      </c>
      <c r="L6" s="14">
        <v>2</v>
      </c>
      <c r="M6" s="54" t="s">
        <v>44</v>
      </c>
      <c r="N6" s="15">
        <f>SUM(I5:I7)</f>
        <v>15000</v>
      </c>
      <c r="O6" s="16">
        <f>N6/SUM($N$6:$N$9)</f>
        <v>0.14874783584125534</v>
      </c>
      <c r="Q6" s="65">
        <v>2</v>
      </c>
      <c r="R6" s="66">
        <f>Inputs!H9</f>
        <v>2.7500000000000002E-4</v>
      </c>
    </row>
    <row r="7" spans="1:18" x14ac:dyDescent="0.25">
      <c r="A7">
        <f t="shared" si="2"/>
        <v>82</v>
      </c>
      <c r="B7">
        <v>3</v>
      </c>
      <c r="C7" s="12">
        <f t="shared" si="3"/>
        <v>4.2261E-2</v>
      </c>
      <c r="D7" s="10">
        <f t="shared" si="4"/>
        <v>0.95773900000000001</v>
      </c>
      <c r="E7" s="198">
        <f>IF(B7&lt;=$C$2,1,IF(B7=$C$2+1,PRODUCT($D$5:D7),E6*D7))</f>
        <v>1</v>
      </c>
      <c r="F7" s="10">
        <f t="shared" si="0"/>
        <v>0.88899635867091487</v>
      </c>
      <c r="G7" s="10">
        <f t="shared" si="5"/>
        <v>0.88899635867091487</v>
      </c>
      <c r="I7" s="13">
        <f t="shared" si="1"/>
        <v>5000</v>
      </c>
      <c r="J7" s="11">
        <f>(SUM(G8:$G$79)*$I$1)</f>
        <v>54421.065424220957</v>
      </c>
      <c r="K7" s="11">
        <f t="shared" si="6"/>
        <v>-4444.9817933545783</v>
      </c>
      <c r="L7" s="14">
        <v>5</v>
      </c>
      <c r="M7" s="19" t="s">
        <v>45</v>
      </c>
      <c r="N7" s="17">
        <f>SUM(I8:I11)</f>
        <v>20000</v>
      </c>
      <c r="O7" s="18">
        <f>N7/SUM($N$6:$N$9)</f>
        <v>0.19833044778834047</v>
      </c>
      <c r="Q7" s="65">
        <v>3</v>
      </c>
      <c r="R7" s="66">
        <f>Inputs!H10</f>
        <v>2.2900000000000001E-4</v>
      </c>
    </row>
    <row r="8" spans="1:18" x14ac:dyDescent="0.25">
      <c r="A8">
        <f t="shared" si="2"/>
        <v>83</v>
      </c>
      <c r="B8">
        <v>4</v>
      </c>
      <c r="C8" s="12">
        <f t="shared" si="3"/>
        <v>4.7440999999999997E-2</v>
      </c>
      <c r="D8" s="10">
        <f t="shared" si="4"/>
        <v>0.95255900000000004</v>
      </c>
      <c r="E8" s="198">
        <f>IF(B8&lt;=$C$2,1,IF(B8=$C$2+1,PRODUCT($D$5:D8),E7*D8))</f>
        <v>1</v>
      </c>
      <c r="F8" s="10">
        <f t="shared" si="0"/>
        <v>0.85480419102972571</v>
      </c>
      <c r="G8" s="10">
        <f>F8*E8</f>
        <v>0.85480419102972571</v>
      </c>
      <c r="I8" s="13">
        <f t="shared" si="1"/>
        <v>5000</v>
      </c>
      <c r="J8" s="11">
        <f>(SUM(G9:$G$79)*$I$1)</f>
        <v>50147.044469072331</v>
      </c>
      <c r="K8" s="11">
        <f t="shared" si="6"/>
        <v>-4274.0209551486259</v>
      </c>
      <c r="L8" s="14">
        <v>10</v>
      </c>
      <c r="M8" s="19" t="s">
        <v>46</v>
      </c>
      <c r="N8" s="17">
        <f>SUM(I12:I19)</f>
        <v>40000</v>
      </c>
      <c r="O8" s="18">
        <f>N8/SUM($N$6:$N$9)</f>
        <v>0.39666089557668094</v>
      </c>
      <c r="Q8" s="65">
        <v>4</v>
      </c>
      <c r="R8" s="66">
        <f>Inputs!H11</f>
        <v>1.74E-4</v>
      </c>
    </row>
    <row r="9" spans="1:18" ht="15.75" thickBot="1" x14ac:dyDescent="0.3">
      <c r="A9">
        <f t="shared" si="2"/>
        <v>84</v>
      </c>
      <c r="B9">
        <v>5</v>
      </c>
      <c r="C9" s="12">
        <f t="shared" si="3"/>
        <v>5.3233000000000003E-2</v>
      </c>
      <c r="D9" s="10">
        <f t="shared" si="4"/>
        <v>0.94676700000000003</v>
      </c>
      <c r="E9" s="198">
        <f>IF(B9&lt;=$C$2,1,IF(B9=$C$2+1,PRODUCT($D$5:D9),E8*D9))</f>
        <v>1</v>
      </c>
      <c r="F9" s="10">
        <f t="shared" si="0"/>
        <v>0.82192710675935154</v>
      </c>
      <c r="G9" s="10">
        <f t="shared" si="5"/>
        <v>0.82192710675935154</v>
      </c>
      <c r="I9" s="13">
        <f t="shared" si="1"/>
        <v>5000</v>
      </c>
      <c r="J9" s="11">
        <f>(SUM(G10:$G$79)*$I$1)</f>
        <v>46037.408935275569</v>
      </c>
      <c r="K9" s="11">
        <f t="shared" si="6"/>
        <v>-4109.6355337967616</v>
      </c>
      <c r="L9" s="14">
        <v>30</v>
      </c>
      <c r="M9" s="20" t="s">
        <v>48</v>
      </c>
      <c r="N9" s="21">
        <f>SUM(I20:I70)</f>
        <v>25841.803278456417</v>
      </c>
      <c r="O9" s="22">
        <f>N9/SUM($N$6:$N$9)</f>
        <v>0.25626082079372331</v>
      </c>
      <c r="Q9" s="65">
        <v>5</v>
      </c>
      <c r="R9" s="66">
        <f>Inputs!H12</f>
        <v>1.6799999999999999E-4</v>
      </c>
    </row>
    <row r="10" spans="1:18" x14ac:dyDescent="0.25">
      <c r="A10">
        <f t="shared" si="2"/>
        <v>85</v>
      </c>
      <c r="B10">
        <v>6</v>
      </c>
      <c r="C10" s="12">
        <f t="shared" si="3"/>
        <v>5.9854999999999998E-2</v>
      </c>
      <c r="D10" s="10">
        <f t="shared" si="4"/>
        <v>0.94014500000000001</v>
      </c>
      <c r="E10" s="198">
        <f>IF(B10&lt;=$C$2,1,IF(B10=$C$2+1,PRODUCT($D$5:D10),E9*D10))</f>
        <v>1</v>
      </c>
      <c r="F10" s="10">
        <f t="shared" si="0"/>
        <v>0.79031452573014571</v>
      </c>
      <c r="G10" s="10">
        <f t="shared" si="5"/>
        <v>0.79031452573014571</v>
      </c>
      <c r="I10" s="13">
        <f t="shared" si="1"/>
        <v>5000</v>
      </c>
      <c r="J10" s="11">
        <f>(SUM(G11:$G$79)*$I$1)</f>
        <v>42085.836306624849</v>
      </c>
      <c r="K10" s="11">
        <f t="shared" si="6"/>
        <v>-3951.5726286507197</v>
      </c>
      <c r="L10" s="53">
        <f>+SUMPRODUCT(L6:L9,O6:O9)</f>
        <v>12.943581490202721</v>
      </c>
      <c r="O10" s="23">
        <f>SUM(O6:O9)</f>
        <v>1</v>
      </c>
      <c r="Q10" s="65">
        <v>6</v>
      </c>
      <c r="R10" s="66">
        <f>Inputs!H13</f>
        <v>1.65E-4</v>
      </c>
    </row>
    <row r="11" spans="1:18" x14ac:dyDescent="0.25">
      <c r="A11">
        <f t="shared" si="2"/>
        <v>86</v>
      </c>
      <c r="B11">
        <v>7</v>
      </c>
      <c r="C11" s="12">
        <f t="shared" si="3"/>
        <v>6.7514000000000005E-2</v>
      </c>
      <c r="D11" s="10">
        <f t="shared" si="4"/>
        <v>0.93248600000000004</v>
      </c>
      <c r="E11" s="198">
        <f>IF(B11&lt;=$C$2,1,IF(B11=$C$2+1,PRODUCT($D$5:D11),E10*D11))</f>
        <v>1</v>
      </c>
      <c r="F11" s="10">
        <f t="shared" si="0"/>
        <v>0.75991781320206331</v>
      </c>
      <c r="G11" s="10">
        <f t="shared" si="5"/>
        <v>0.75991781320206331</v>
      </c>
      <c r="I11" s="13">
        <f t="shared" si="1"/>
        <v>5000</v>
      </c>
      <c r="J11" s="11">
        <f>(SUM(G12:$G$79)*$I$1)</f>
        <v>38286.247240614532</v>
      </c>
      <c r="K11" s="11">
        <f t="shared" si="6"/>
        <v>-3799.5890660103178</v>
      </c>
      <c r="Q11" s="65">
        <v>7</v>
      </c>
      <c r="R11" s="66">
        <f>Inputs!H14</f>
        <v>1.5899999999999999E-4</v>
      </c>
    </row>
    <row r="12" spans="1:18" x14ac:dyDescent="0.25">
      <c r="A12">
        <f t="shared" si="2"/>
        <v>87</v>
      </c>
      <c r="B12">
        <v>8</v>
      </c>
      <c r="C12" s="12">
        <f t="shared" si="3"/>
        <v>7.6340000000000005E-2</v>
      </c>
      <c r="D12" s="10">
        <f t="shared" si="4"/>
        <v>0.92366000000000004</v>
      </c>
      <c r="E12" s="198">
        <f>IF(B12&lt;=$C$2,1,IF(B12=$C$2+1,PRODUCT($D$5:D12),E11*D12))</f>
        <v>1</v>
      </c>
      <c r="F12" s="10">
        <f t="shared" si="0"/>
        <v>0.73069020500198378</v>
      </c>
      <c r="G12" s="10">
        <f t="shared" si="5"/>
        <v>0.73069020500198378</v>
      </c>
      <c r="I12" s="13">
        <f t="shared" si="1"/>
        <v>5000</v>
      </c>
      <c r="J12" s="11">
        <f>(SUM(G13:$G$79)*$I$1)</f>
        <v>34632.79621560462</v>
      </c>
      <c r="K12" s="11">
        <f t="shared" si="6"/>
        <v>-3653.451025009912</v>
      </c>
      <c r="Q12" s="65">
        <v>8</v>
      </c>
      <c r="R12" s="66">
        <f>Inputs!H15</f>
        <v>1.4300000000000001E-4</v>
      </c>
    </row>
    <row r="13" spans="1:18" x14ac:dyDescent="0.25">
      <c r="A13">
        <f t="shared" si="2"/>
        <v>88</v>
      </c>
      <c r="B13">
        <v>9</v>
      </c>
      <c r="C13" s="12">
        <f t="shared" si="3"/>
        <v>8.6388000000000006E-2</v>
      </c>
      <c r="D13" s="10">
        <f t="shared" si="4"/>
        <v>0.91361199999999998</v>
      </c>
      <c r="E13" s="198">
        <f>IF(B13&lt;=$C$2,1,IF(B13=$C$2+1,PRODUCT($D$5:D13),E12*D13))</f>
        <v>1</v>
      </c>
      <c r="F13" s="10">
        <f t="shared" si="0"/>
        <v>0.70258673557883045</v>
      </c>
      <c r="G13" s="10">
        <f t="shared" si="5"/>
        <v>0.70258673557883045</v>
      </c>
      <c r="I13" s="13">
        <f t="shared" si="1"/>
        <v>5000</v>
      </c>
      <c r="J13" s="11">
        <f>(SUM(G14:$G$79)*$I$1)</f>
        <v>31119.862537710462</v>
      </c>
      <c r="K13" s="11">
        <f t="shared" si="6"/>
        <v>-3512.9336778941579</v>
      </c>
      <c r="Q13" s="65">
        <v>9</v>
      </c>
      <c r="R13" s="66">
        <f>Inputs!H16</f>
        <v>1.2899999999999999E-4</v>
      </c>
    </row>
    <row r="14" spans="1:18" x14ac:dyDescent="0.25">
      <c r="A14">
        <f t="shared" si="2"/>
        <v>89</v>
      </c>
      <c r="B14">
        <v>10</v>
      </c>
      <c r="C14" s="12">
        <f t="shared" si="3"/>
        <v>9.7633999999999999E-2</v>
      </c>
      <c r="D14" s="10">
        <f t="shared" si="4"/>
        <v>0.902366</v>
      </c>
      <c r="E14" s="198">
        <f>IF(B14&lt;=$C$2,1,IF(B14=$C$2+1,PRODUCT($D$5:D14),E13*D14))</f>
        <v>1</v>
      </c>
      <c r="F14" s="10">
        <f t="shared" si="0"/>
        <v>0.67556416882579851</v>
      </c>
      <c r="G14" s="10">
        <f t="shared" si="5"/>
        <v>0.67556416882579851</v>
      </c>
      <c r="I14" s="13">
        <f t="shared" si="1"/>
        <v>5000</v>
      </c>
      <c r="J14" s="11">
        <f>(SUM(G15:$G$79)*$I$1)</f>
        <v>27742.041693581472</v>
      </c>
      <c r="K14" s="11">
        <f t="shared" si="6"/>
        <v>-3377.8208441289898</v>
      </c>
      <c r="Q14" s="65">
        <v>10</v>
      </c>
      <c r="R14" s="66">
        <f>Inputs!H17</f>
        <v>1.13E-4</v>
      </c>
    </row>
    <row r="15" spans="1:18" x14ac:dyDescent="0.25">
      <c r="A15">
        <f t="shared" si="2"/>
        <v>90</v>
      </c>
      <c r="B15">
        <v>11</v>
      </c>
      <c r="C15" s="12">
        <f t="shared" si="3"/>
        <v>0.10999299999999999</v>
      </c>
      <c r="D15" s="10">
        <f t="shared" si="4"/>
        <v>0.89000699999999999</v>
      </c>
      <c r="E15" s="198">
        <f>IF(B15&lt;=$C$2,1,IF(B15=$C$2+1,PRODUCT($D$5:D15),E14*D15))</f>
        <v>1</v>
      </c>
      <c r="F15" s="10">
        <f t="shared" si="0"/>
        <v>0.6495809315632679</v>
      </c>
      <c r="G15" s="10">
        <f t="shared" si="5"/>
        <v>0.6495809315632679</v>
      </c>
      <c r="I15" s="13">
        <f t="shared" si="1"/>
        <v>5000</v>
      </c>
      <c r="J15" s="11">
        <f>(SUM(G16:$G$79)*$I$1)</f>
        <v>24494.137035765132</v>
      </c>
      <c r="K15" s="11">
        <f t="shared" si="6"/>
        <v>-3247.9046578163397</v>
      </c>
      <c r="Q15" s="65">
        <v>11</v>
      </c>
      <c r="R15" s="66">
        <f>Inputs!H18</f>
        <v>1.11E-4</v>
      </c>
    </row>
    <row r="16" spans="1:18" x14ac:dyDescent="0.25">
      <c r="A16">
        <f t="shared" si="2"/>
        <v>91</v>
      </c>
      <c r="B16">
        <v>12</v>
      </c>
      <c r="C16" s="12">
        <f t="shared" si="3"/>
        <v>0.12311900000000001</v>
      </c>
      <c r="D16" s="10">
        <f t="shared" si="4"/>
        <v>0.87688100000000002</v>
      </c>
      <c r="E16" s="198">
        <f>IF(B16&lt;=$C$2,1,IF(B16=$C$2+1,PRODUCT($D$5:D16),E15*D16))</f>
        <v>1</v>
      </c>
      <c r="F16" s="10">
        <f t="shared" si="0"/>
        <v>0.62459704958006512</v>
      </c>
      <c r="G16" s="10">
        <f t="shared" si="5"/>
        <v>0.62459704958006512</v>
      </c>
      <c r="I16" s="13">
        <f t="shared" si="1"/>
        <v>5000</v>
      </c>
      <c r="J16" s="11">
        <f>(SUM(G17:$G$79)*$I$1)</f>
        <v>21371.151787864808</v>
      </c>
      <c r="K16" s="11">
        <f t="shared" si="6"/>
        <v>-3122.9852479003239</v>
      </c>
      <c r="Q16" s="65">
        <v>12</v>
      </c>
      <c r="R16" s="66">
        <f>Inputs!H19</f>
        <v>1.3200000000000001E-4</v>
      </c>
    </row>
    <row r="17" spans="1:18" x14ac:dyDescent="0.25">
      <c r="A17">
        <f t="shared" si="2"/>
        <v>92</v>
      </c>
      <c r="B17">
        <v>13</v>
      </c>
      <c r="C17" s="12">
        <f t="shared" si="3"/>
        <v>0.13716800000000001</v>
      </c>
      <c r="D17" s="10">
        <f t="shared" si="4"/>
        <v>0.86283200000000004</v>
      </c>
      <c r="E17" s="198">
        <f>IF(B17&lt;=$C$2,1,IF(B17=$C$2+1,PRODUCT($D$5:D17),E16*D17))</f>
        <v>1</v>
      </c>
      <c r="F17" s="10">
        <f t="shared" si="0"/>
        <v>0.600574086134678</v>
      </c>
      <c r="G17" s="10">
        <f t="shared" si="5"/>
        <v>0.600574086134678</v>
      </c>
      <c r="I17" s="13">
        <f t="shared" si="1"/>
        <v>5000</v>
      </c>
      <c r="J17" s="11">
        <f>(SUM(G18:$G$79)*$I$1)</f>
        <v>18368.281357191416</v>
      </c>
      <c r="K17" s="11">
        <f t="shared" si="6"/>
        <v>-3002.8704306733925</v>
      </c>
      <c r="Q17" s="65">
        <v>13</v>
      </c>
      <c r="R17" s="66">
        <f>Inputs!H20</f>
        <v>1.6899999999999999E-4</v>
      </c>
    </row>
    <row r="18" spans="1:18" x14ac:dyDescent="0.25">
      <c r="A18">
        <f t="shared" si="2"/>
        <v>93</v>
      </c>
      <c r="B18">
        <v>14</v>
      </c>
      <c r="C18" s="12">
        <f t="shared" si="3"/>
        <v>0.152171</v>
      </c>
      <c r="D18" s="10">
        <f t="shared" si="4"/>
        <v>0.84782899999999994</v>
      </c>
      <c r="E18" s="198">
        <f>IF(B18&lt;=$C$2,1,IF(B18=$C$2+1,PRODUCT($D$5:D18),E17*D18))</f>
        <v>1</v>
      </c>
      <c r="F18" s="10">
        <f t="shared" si="0"/>
        <v>0.57747508282180582</v>
      </c>
      <c r="G18" s="10">
        <f t="shared" si="5"/>
        <v>0.57747508282180582</v>
      </c>
      <c r="I18" s="13">
        <f t="shared" si="1"/>
        <v>5000</v>
      </c>
      <c r="J18" s="11">
        <f>(SUM(G19:$G$79)*$I$1)</f>
        <v>15480.905943082387</v>
      </c>
      <c r="K18" s="11">
        <f t="shared" si="6"/>
        <v>-2887.3754141090285</v>
      </c>
      <c r="Q18" s="65">
        <v>14</v>
      </c>
      <c r="R18" s="66">
        <f>Inputs!H21</f>
        <v>2.13E-4</v>
      </c>
    </row>
    <row r="19" spans="1:18" x14ac:dyDescent="0.25">
      <c r="A19">
        <f t="shared" si="2"/>
        <v>94</v>
      </c>
      <c r="B19">
        <v>15</v>
      </c>
      <c r="C19" s="12">
        <f t="shared" si="3"/>
        <v>0.16819400000000001</v>
      </c>
      <c r="D19" s="10">
        <f t="shared" si="4"/>
        <v>0.83180600000000005</v>
      </c>
      <c r="E19" s="198">
        <f>IF(B19&lt;=$C$2,1,IF(B19=$C$2+1,PRODUCT($D$5:D19),E18*D19))</f>
        <v>1</v>
      </c>
      <c r="F19" s="10">
        <f t="shared" si="0"/>
        <v>0.55526450271327477</v>
      </c>
      <c r="G19" s="10">
        <f t="shared" si="5"/>
        <v>0.55526450271327477</v>
      </c>
      <c r="I19" s="13">
        <f t="shared" si="1"/>
        <v>5000</v>
      </c>
      <c r="J19" s="11">
        <f>(SUM(G20:$G$79)*$I$1)</f>
        <v>12704.583429516015</v>
      </c>
      <c r="K19" s="11">
        <f t="shared" si="6"/>
        <v>-2776.3225135663724</v>
      </c>
      <c r="Q19" s="65">
        <v>15</v>
      </c>
      <c r="R19" s="66">
        <f>Inputs!H22</f>
        <v>2.5399999999999999E-4</v>
      </c>
    </row>
    <row r="20" spans="1:18" x14ac:dyDescent="0.25">
      <c r="A20">
        <f t="shared" si="2"/>
        <v>95</v>
      </c>
      <c r="B20">
        <v>16</v>
      </c>
      <c r="C20" s="12">
        <f t="shared" si="3"/>
        <v>0.18526000000000001</v>
      </c>
      <c r="D20" s="10">
        <f t="shared" si="4"/>
        <v>0.81474000000000002</v>
      </c>
      <c r="E20" s="198">
        <f>IF(B20&lt;=$C$2,1,IF(B20=$C$2+1,PRODUCT($D$5:D20),E19*D20))</f>
        <v>1</v>
      </c>
      <c r="F20" s="10">
        <f t="shared" si="0"/>
        <v>0.53390817568584104</v>
      </c>
      <c r="G20" s="10">
        <f t="shared" si="5"/>
        <v>0.53390817568584104</v>
      </c>
      <c r="I20" s="13">
        <f t="shared" si="1"/>
        <v>5000</v>
      </c>
      <c r="J20" s="11">
        <f>(SUM(G21:$G$79)*$I$1)</f>
        <v>10035.04255108681</v>
      </c>
      <c r="K20" s="11">
        <f t="shared" si="6"/>
        <v>-2669.5408784292049</v>
      </c>
      <c r="Q20" s="65">
        <v>16</v>
      </c>
      <c r="R20" s="66">
        <f>Inputs!H23</f>
        <v>2.9300000000000002E-4</v>
      </c>
    </row>
    <row r="21" spans="1:18" x14ac:dyDescent="0.25">
      <c r="A21">
        <f t="shared" si="2"/>
        <v>96</v>
      </c>
      <c r="B21">
        <v>17</v>
      </c>
      <c r="C21" s="12">
        <f t="shared" si="3"/>
        <v>0.197322</v>
      </c>
      <c r="D21" s="10">
        <f t="shared" si="4"/>
        <v>0.802678</v>
      </c>
      <c r="E21" s="198">
        <f>IF(B21&lt;=$C$2,1,IF(B21=$C$2+1,PRODUCT($D$5:D21),E20*D21))</f>
        <v>1</v>
      </c>
      <c r="F21" s="10">
        <f t="shared" si="0"/>
        <v>0.51337324585177024</v>
      </c>
      <c r="G21" s="10">
        <f t="shared" si="5"/>
        <v>0.51337324585177024</v>
      </c>
      <c r="I21" s="13">
        <f t="shared" si="1"/>
        <v>5000</v>
      </c>
      <c r="J21" s="11">
        <f>(SUM(G22:$G$79)*$I$1)</f>
        <v>7468.1763218279539</v>
      </c>
      <c r="K21" s="11">
        <f t="shared" si="6"/>
        <v>-2566.866229258856</v>
      </c>
      <c r="Q21" s="65">
        <v>17</v>
      </c>
      <c r="R21" s="66">
        <f>Inputs!H24</f>
        <v>3.28E-4</v>
      </c>
    </row>
    <row r="22" spans="1:18" x14ac:dyDescent="0.25">
      <c r="A22">
        <f t="shared" si="2"/>
        <v>97</v>
      </c>
      <c r="B22">
        <v>18</v>
      </c>
      <c r="C22" s="12">
        <f t="shared" si="3"/>
        <v>0.214751</v>
      </c>
      <c r="D22" s="10">
        <f t="shared" si="4"/>
        <v>0.78524899999999997</v>
      </c>
      <c r="E22" s="198">
        <f>IF(B22&lt;=$C$2,1,IF(B22=$C$2+1,PRODUCT($D$5:D22),E21*D22))</f>
        <v>1</v>
      </c>
      <c r="F22" s="10">
        <f t="shared" si="0"/>
        <v>0.49362812101131748</v>
      </c>
      <c r="G22" s="10">
        <f t="shared" si="5"/>
        <v>0.49362812101131748</v>
      </c>
      <c r="I22" s="13">
        <f t="shared" si="1"/>
        <v>5000</v>
      </c>
      <c r="J22" s="11">
        <f>(SUM(G23:$G$79)*$I$1)</f>
        <v>5000.0357167713664</v>
      </c>
      <c r="K22" s="11">
        <f t="shared" si="6"/>
        <v>-2468.1406050565874</v>
      </c>
      <c r="Q22" s="65">
        <v>18</v>
      </c>
      <c r="R22" s="66">
        <f>Inputs!H25</f>
        <v>3.59E-4</v>
      </c>
    </row>
    <row r="23" spans="1:18" x14ac:dyDescent="0.25">
      <c r="A23">
        <f t="shared" si="2"/>
        <v>98</v>
      </c>
      <c r="B23">
        <v>19</v>
      </c>
      <c r="C23" s="12">
        <f t="shared" si="3"/>
        <v>0.23250699999999999</v>
      </c>
      <c r="D23" s="10">
        <f t="shared" si="4"/>
        <v>0.76749299999999998</v>
      </c>
      <c r="E23" s="198">
        <f>IF(B23&lt;=$C$2,1,IF(B23=$C$2+1,PRODUCT($D$5:D23),E22*D23))</f>
        <v>1</v>
      </c>
      <c r="F23" s="10">
        <f t="shared" si="0"/>
        <v>0.47464242404934376</v>
      </c>
      <c r="G23" s="10">
        <f t="shared" si="5"/>
        <v>0.47464242404934376</v>
      </c>
      <c r="I23" s="13">
        <f t="shared" si="1"/>
        <v>5000</v>
      </c>
      <c r="J23" s="11">
        <f>(SUM(G24:$G$79)*$I$1)</f>
        <v>2626.8235965246495</v>
      </c>
      <c r="K23" s="11">
        <f t="shared" si="6"/>
        <v>-2373.2121202467169</v>
      </c>
      <c r="Q23" s="65">
        <v>19</v>
      </c>
      <c r="R23" s="66">
        <f>Inputs!H26</f>
        <v>3.8699999999999997E-4</v>
      </c>
    </row>
    <row r="24" spans="1:18" x14ac:dyDescent="0.25">
      <c r="A24">
        <f t="shared" si="2"/>
        <v>99</v>
      </c>
      <c r="B24">
        <v>20</v>
      </c>
      <c r="C24" s="12">
        <f t="shared" si="3"/>
        <v>0.25039699999999998</v>
      </c>
      <c r="D24" s="10">
        <f t="shared" si="4"/>
        <v>0.74960300000000002</v>
      </c>
      <c r="E24" s="198">
        <f>IF(B24&lt;=$C$2,1,IF(B24=$C$2+1,PRODUCT($D$5:D24),E23*D24))</f>
        <v>1</v>
      </c>
      <c r="F24" s="10">
        <f t="shared" si="0"/>
        <v>0.45638694620129205</v>
      </c>
      <c r="G24" s="10">
        <f t="shared" si="5"/>
        <v>0.45638694620129205</v>
      </c>
      <c r="I24" s="13">
        <f t="shared" si="1"/>
        <v>5000</v>
      </c>
      <c r="J24" s="11">
        <f>(SUM(G25:$G$79)*$I$1)</f>
        <v>344.88886551818808</v>
      </c>
      <c r="K24" s="11">
        <f t="shared" si="6"/>
        <v>-2281.9347310064613</v>
      </c>
      <c r="Q24" s="65">
        <v>20</v>
      </c>
      <c r="R24" s="66">
        <f>Inputs!H27</f>
        <v>4.1399999999999998E-4</v>
      </c>
    </row>
    <row r="25" spans="1:18" x14ac:dyDescent="0.25">
      <c r="A25">
        <f t="shared" si="2"/>
        <v>100</v>
      </c>
      <c r="B25">
        <v>21</v>
      </c>
      <c r="C25" s="12">
        <f t="shared" si="3"/>
        <v>0.26860699999999998</v>
      </c>
      <c r="D25" s="10">
        <f t="shared" si="4"/>
        <v>0.73139299999999996</v>
      </c>
      <c r="E25" s="198">
        <f>IF(B25&lt;=$C$2,1,IF(B25=$C$2+1,PRODUCT($D$5:D25),E24*D25))</f>
        <v>5.5055178214659113E-2</v>
      </c>
      <c r="F25" s="10">
        <f t="shared" si="0"/>
        <v>0.43883360211662686</v>
      </c>
      <c r="G25" s="10">
        <f t="shared" si="5"/>
        <v>2.4160062171111701E-2</v>
      </c>
      <c r="I25" s="13">
        <f t="shared" si="1"/>
        <v>275.27589107329555</v>
      </c>
      <c r="J25" s="11">
        <f>(SUM(G26:$G$79)*$I$1)</f>
        <v>224.08855466262943</v>
      </c>
      <c r="K25" s="11">
        <f t="shared" si="6"/>
        <v>-120.80031085555865</v>
      </c>
      <c r="Q25" s="65">
        <v>21</v>
      </c>
      <c r="R25" s="66">
        <f>Inputs!H28</f>
        <v>4.4299999999999998E-4</v>
      </c>
    </row>
    <row r="26" spans="1:18" x14ac:dyDescent="0.25">
      <c r="A26">
        <f t="shared" si="2"/>
        <v>101</v>
      </c>
      <c r="B26">
        <v>22</v>
      </c>
      <c r="C26" s="12">
        <f t="shared" si="3"/>
        <v>0.290016</v>
      </c>
      <c r="D26" s="10">
        <f t="shared" si="4"/>
        <v>0.70998399999999995</v>
      </c>
      <c r="E26" s="198">
        <f>IF(B26&lt;=$C$2,1,IF(B26=$C$2+1,PRODUCT($D$5:D26),E25*D26))</f>
        <v>3.9088295649556536E-2</v>
      </c>
      <c r="F26" s="10">
        <f t="shared" si="0"/>
        <v>0.42195538665060278</v>
      </c>
      <c r="G26" s="10">
        <f t="shared" si="5"/>
        <v>1.6493516904321704E-2</v>
      </c>
      <c r="I26" s="13">
        <f t="shared" si="1"/>
        <v>195.44147824778267</v>
      </c>
      <c r="J26" s="11">
        <f>(SUM(G27:$G$79)*$I$1)</f>
        <v>141.62097014102099</v>
      </c>
      <c r="K26" s="11">
        <f t="shared" si="6"/>
        <v>-82.467584521608444</v>
      </c>
      <c r="Q26" s="65">
        <v>22</v>
      </c>
      <c r="R26" s="66">
        <f>Inputs!H29</f>
        <v>4.73E-4</v>
      </c>
    </row>
    <row r="27" spans="1:18" x14ac:dyDescent="0.25">
      <c r="A27">
        <f t="shared" si="2"/>
        <v>102</v>
      </c>
      <c r="B27">
        <v>23</v>
      </c>
      <c r="C27" s="12">
        <f t="shared" si="3"/>
        <v>0.31184899999999999</v>
      </c>
      <c r="D27" s="10">
        <f t="shared" si="4"/>
        <v>0.68815099999999996</v>
      </c>
      <c r="E27" s="198">
        <f>IF(B27&lt;=$C$2,1,IF(B27=$C$2+1,PRODUCT($D$5:D27),E26*D27))</f>
        <v>2.6898649739537976E-2</v>
      </c>
      <c r="F27" s="10">
        <f t="shared" si="0"/>
        <v>0.40572633331788732</v>
      </c>
      <c r="G27" s="10">
        <f t="shared" si="5"/>
        <v>1.0913490530024888E-2</v>
      </c>
      <c r="I27" s="13">
        <f t="shared" si="1"/>
        <v>134.49324869768989</v>
      </c>
      <c r="J27" s="11">
        <f>(SUM(G28:$G$79)*$I$1)</f>
        <v>87.053517490896553</v>
      </c>
      <c r="K27" s="11">
        <f t="shared" si="6"/>
        <v>-54.567452650124437</v>
      </c>
      <c r="Q27" s="65">
        <v>23</v>
      </c>
      <c r="R27" s="66">
        <f>Inputs!H30</f>
        <v>5.13E-4</v>
      </c>
    </row>
    <row r="28" spans="1:18" x14ac:dyDescent="0.25">
      <c r="A28">
        <f t="shared" si="2"/>
        <v>103</v>
      </c>
      <c r="B28">
        <v>24</v>
      </c>
      <c r="C28" s="12">
        <f t="shared" si="3"/>
        <v>0.33396199999999998</v>
      </c>
      <c r="D28" s="10">
        <f t="shared" si="4"/>
        <v>0.66603800000000002</v>
      </c>
      <c r="E28" s="198">
        <f>IF(B28&lt;=$C$2,1,IF(B28=$C$2+1,PRODUCT($D$5:D28),E27*D28))</f>
        <v>1.7915522875222394E-2</v>
      </c>
      <c r="F28" s="10">
        <f t="shared" si="0"/>
        <v>0.39012147434412242</v>
      </c>
      <c r="G28" s="10">
        <f t="shared" si="5"/>
        <v>6.989230197727612E-3</v>
      </c>
      <c r="I28" s="13">
        <f t="shared" si="1"/>
        <v>89.577614376111967</v>
      </c>
      <c r="J28" s="11">
        <f>(SUM(G29:$G$79)*$I$1)</f>
        <v>52.107366502258479</v>
      </c>
      <c r="K28" s="11">
        <f t="shared" si="6"/>
        <v>-34.946150988638074</v>
      </c>
      <c r="Q28" s="65">
        <v>24</v>
      </c>
      <c r="R28" s="66">
        <f>Inputs!H31</f>
        <v>5.5400000000000002E-4</v>
      </c>
    </row>
    <row r="29" spans="1:18" x14ac:dyDescent="0.25">
      <c r="A29">
        <f t="shared" si="2"/>
        <v>104</v>
      </c>
      <c r="B29">
        <v>25</v>
      </c>
      <c r="C29" s="12">
        <f t="shared" si="3"/>
        <v>0.356207</v>
      </c>
      <c r="D29" s="10">
        <f t="shared" si="4"/>
        <v>0.64379300000000006</v>
      </c>
      <c r="E29" s="198">
        <f>IF(B29&lt;=$C$2,1,IF(B29=$C$2+1,PRODUCT($D$5:D29),E28*D29))</f>
        <v>1.1533888218408051E-2</v>
      </c>
      <c r="F29" s="10">
        <f t="shared" si="0"/>
        <v>0.37511680225396377</v>
      </c>
      <c r="G29" s="10">
        <f t="shared" si="5"/>
        <v>4.3265552660438954E-3</v>
      </c>
      <c r="I29" s="13">
        <f t="shared" si="1"/>
        <v>57.669441092040259</v>
      </c>
      <c r="J29" s="11">
        <f>(SUM(G30:$G$79)*$I$1)</f>
        <v>30.474590172038994</v>
      </c>
      <c r="K29" s="11">
        <f t="shared" si="6"/>
        <v>-21.632776330219485</v>
      </c>
      <c r="Q29" s="65">
        <v>25</v>
      </c>
      <c r="R29" s="66">
        <f>Inputs!H32</f>
        <v>6.02E-4</v>
      </c>
    </row>
    <row r="30" spans="1:18" x14ac:dyDescent="0.25">
      <c r="A30">
        <f t="shared" si="2"/>
        <v>105</v>
      </c>
      <c r="B30">
        <v>26</v>
      </c>
      <c r="C30" s="12">
        <f t="shared" si="3"/>
        <v>0.38</v>
      </c>
      <c r="D30" s="10">
        <f t="shared" si="4"/>
        <v>0.62</v>
      </c>
      <c r="E30" s="198">
        <f>IF(B30&lt;=$C$2,1,IF(B30=$C$2+1,PRODUCT($D$5:D30),E29*D30))</f>
        <v>7.1510106954129913E-3</v>
      </c>
      <c r="F30" s="10">
        <f t="shared" si="0"/>
        <v>0.36068923293650368</v>
      </c>
      <c r="G30" s="10">
        <f t="shared" si="5"/>
        <v>2.5792925624492456E-3</v>
      </c>
      <c r="I30" s="13">
        <f t="shared" si="1"/>
        <v>35.755053477064955</v>
      </c>
      <c r="J30" s="11">
        <f>(SUM(G31:$G$79)*$I$1)</f>
        <v>17.57812735979277</v>
      </c>
      <c r="K30" s="11">
        <f t="shared" si="6"/>
        <v>-12.896462812246224</v>
      </c>
      <c r="Q30" s="65">
        <v>26</v>
      </c>
      <c r="R30" s="66">
        <f>Inputs!H33</f>
        <v>6.5499999999999998E-4</v>
      </c>
    </row>
    <row r="31" spans="1:18" x14ac:dyDescent="0.25">
      <c r="A31">
        <f t="shared" si="2"/>
        <v>106</v>
      </c>
      <c r="B31">
        <v>27</v>
      </c>
      <c r="C31" s="12">
        <f t="shared" si="3"/>
        <v>0.4</v>
      </c>
      <c r="D31" s="10">
        <f t="shared" si="4"/>
        <v>0.6</v>
      </c>
      <c r="E31" s="198">
        <f>IF(B31&lt;=$C$2,1,IF(B31=$C$2+1,PRODUCT($D$5:D31),E30*D31))</f>
        <v>4.2906064172477942E-3</v>
      </c>
      <c r="F31" s="10">
        <f t="shared" si="0"/>
        <v>0.3468165701312535</v>
      </c>
      <c r="G31" s="10">
        <f t="shared" si="5"/>
        <v>1.4880534014130259E-3</v>
      </c>
      <c r="I31" s="13">
        <f t="shared" si="1"/>
        <v>21.45303208623897</v>
      </c>
      <c r="J31" s="11">
        <f>(SUM(G32:$G$79)*$I$1)</f>
        <v>10.137860352727639</v>
      </c>
      <c r="K31" s="11">
        <f t="shared" si="6"/>
        <v>-7.4402670070651311</v>
      </c>
      <c r="Q31" s="65">
        <v>27</v>
      </c>
      <c r="R31" s="66">
        <f>Inputs!H34</f>
        <v>6.8800000000000003E-4</v>
      </c>
    </row>
    <row r="32" spans="1:18" x14ac:dyDescent="0.25">
      <c r="A32">
        <f t="shared" si="2"/>
        <v>107</v>
      </c>
      <c r="B32">
        <v>28</v>
      </c>
      <c r="C32" s="12">
        <f t="shared" si="3"/>
        <v>0.4</v>
      </c>
      <c r="D32" s="10">
        <f t="shared" si="4"/>
        <v>0.6</v>
      </c>
      <c r="E32" s="198">
        <f>IF(B32&lt;=$C$2,1,IF(B32=$C$2+1,PRODUCT($D$5:D32),E31*D32))</f>
        <v>2.5743638503486765E-3</v>
      </c>
      <c r="F32" s="10">
        <f t="shared" si="0"/>
        <v>0.3334774712800514</v>
      </c>
      <c r="G32" s="10">
        <f t="shared" si="5"/>
        <v>8.5849234696905329E-4</v>
      </c>
      <c r="I32" s="13">
        <f t="shared" si="1"/>
        <v>12.871819251743382</v>
      </c>
      <c r="J32" s="11">
        <f>(SUM(G33:$G$79)*$I$1)</f>
        <v>5.8453986178823722</v>
      </c>
      <c r="K32" s="11">
        <f t="shared" si="6"/>
        <v>-4.2924617348452667</v>
      </c>
      <c r="Q32" s="65">
        <v>28</v>
      </c>
      <c r="R32" s="66">
        <f>Inputs!H35</f>
        <v>7.1000000000000002E-4</v>
      </c>
    </row>
    <row r="33" spans="1:18" x14ac:dyDescent="0.25">
      <c r="A33">
        <f t="shared" si="2"/>
        <v>108</v>
      </c>
      <c r="B33">
        <v>29</v>
      </c>
      <c r="C33" s="12">
        <f t="shared" si="3"/>
        <v>0.4</v>
      </c>
      <c r="D33" s="10">
        <f t="shared" si="4"/>
        <v>0.6</v>
      </c>
      <c r="E33" s="198">
        <f>IF(B33&lt;=$C$2,1,IF(B33=$C$2+1,PRODUCT($D$5:D33),E32*D33))</f>
        <v>1.544618310209206E-3</v>
      </c>
      <c r="F33" s="10">
        <f t="shared" si="0"/>
        <v>0.32065141469235708</v>
      </c>
      <c r="G33" s="10">
        <f t="shared" si="5"/>
        <v>4.9528404632829994E-4</v>
      </c>
      <c r="I33" s="13">
        <f t="shared" si="1"/>
        <v>7.7230915510460294</v>
      </c>
      <c r="J33" s="11">
        <f>(SUM(G34:$G$79)*$I$1)</f>
        <v>3.3689783862408733</v>
      </c>
      <c r="K33" s="11">
        <f t="shared" si="6"/>
        <v>-2.4764202316414989</v>
      </c>
      <c r="Q33" s="65">
        <v>29</v>
      </c>
      <c r="R33" s="66">
        <f>Inputs!H36</f>
        <v>7.27E-4</v>
      </c>
    </row>
    <row r="34" spans="1:18" x14ac:dyDescent="0.25">
      <c r="A34">
        <f t="shared" si="2"/>
        <v>109</v>
      </c>
      <c r="B34">
        <v>30</v>
      </c>
      <c r="C34" s="12">
        <f t="shared" si="3"/>
        <v>0.4</v>
      </c>
      <c r="D34" s="10">
        <f t="shared" si="4"/>
        <v>0.6</v>
      </c>
      <c r="E34" s="198">
        <f>IF(B34&lt;=$C$2,1,IF(B34=$C$2+1,PRODUCT($D$5:D34),E33*D34))</f>
        <v>9.2677098612552352E-4</v>
      </c>
      <c r="F34" s="10">
        <f t="shared" si="0"/>
        <v>0.30831866797342034</v>
      </c>
      <c r="G34" s="10">
        <f t="shared" si="5"/>
        <v>2.8574079595863465E-4</v>
      </c>
      <c r="I34" s="13">
        <f t="shared" si="1"/>
        <v>4.633854930627618</v>
      </c>
      <c r="J34" s="11">
        <f>(SUM(G35:$G$79)*$I$1)</f>
        <v>1.9402744064477007</v>
      </c>
      <c r="K34" s="11">
        <f t="shared" si="6"/>
        <v>-1.4287039797931727</v>
      </c>
      <c r="Q34" s="65">
        <v>30</v>
      </c>
      <c r="R34" s="66">
        <f>Inputs!H37</f>
        <v>7.4100000000000001E-4</v>
      </c>
    </row>
    <row r="35" spans="1:18" x14ac:dyDescent="0.25">
      <c r="A35">
        <f t="shared" si="2"/>
        <v>110</v>
      </c>
      <c r="B35">
        <v>31</v>
      </c>
      <c r="C35" s="12">
        <f t="shared" si="3"/>
        <v>0.4</v>
      </c>
      <c r="D35" s="10">
        <f t="shared" si="4"/>
        <v>0.6</v>
      </c>
      <c r="E35" s="198">
        <f>IF(B35&lt;=$C$2,1,IF(B35=$C$2+1,PRODUCT($D$5:D35),E34*D35))</f>
        <v>5.5606259167531407E-4</v>
      </c>
      <c r="F35" s="10">
        <f t="shared" si="0"/>
        <v>0.29646025766675027</v>
      </c>
      <c r="G35" s="10">
        <f t="shared" si="5"/>
        <v>1.6485045920690454E-4</v>
      </c>
      <c r="I35" s="13">
        <f t="shared" si="1"/>
        <v>2.7803129583765704</v>
      </c>
      <c r="J35" s="11">
        <f>(SUM(G36:$G$79)*$I$1)</f>
        <v>1.1160221104131776</v>
      </c>
      <c r="K35" s="11">
        <f t="shared" si="6"/>
        <v>-0.8242522960345231</v>
      </c>
      <c r="Q35" s="65">
        <v>31</v>
      </c>
      <c r="R35" s="66">
        <f>Inputs!H38</f>
        <v>7.5100000000000004E-4</v>
      </c>
    </row>
    <row r="36" spans="1:18" x14ac:dyDescent="0.25">
      <c r="A36">
        <f t="shared" si="2"/>
        <v>111</v>
      </c>
      <c r="B36">
        <v>32</v>
      </c>
      <c r="C36" s="12">
        <f t="shared" si="3"/>
        <v>0.4</v>
      </c>
      <c r="D36" s="10">
        <f t="shared" si="4"/>
        <v>0.6</v>
      </c>
      <c r="E36" s="198">
        <f>IF(B36&lt;=$C$2,1,IF(B36=$C$2+1,PRODUCT($D$5:D36),E35*D36))</f>
        <v>3.3363755500518842E-4</v>
      </c>
      <c r="F36" s="10">
        <f t="shared" si="0"/>
        <v>0.28505794006418295</v>
      </c>
      <c r="G36" s="10">
        <f t="shared" si="5"/>
        <v>9.510603415782954E-5</v>
      </c>
      <c r="I36" s="13">
        <f t="shared" si="1"/>
        <v>1.6681877750259422</v>
      </c>
      <c r="J36" s="11">
        <f>(SUM(G37:$G$79)*$I$1)</f>
        <v>0.64049193962402962</v>
      </c>
      <c r="K36" s="11">
        <f t="shared" si="6"/>
        <v>-0.47553017078914794</v>
      </c>
      <c r="Q36" s="65">
        <v>32</v>
      </c>
      <c r="R36" s="66">
        <f>Inputs!H39</f>
        <v>7.54E-4</v>
      </c>
    </row>
    <row r="37" spans="1:18" x14ac:dyDescent="0.25">
      <c r="A37">
        <f t="shared" si="2"/>
        <v>112</v>
      </c>
      <c r="B37">
        <v>33</v>
      </c>
      <c r="C37" s="12">
        <f t="shared" si="3"/>
        <v>0.4</v>
      </c>
      <c r="D37" s="10">
        <f t="shared" si="4"/>
        <v>0.6</v>
      </c>
      <c r="E37" s="198">
        <f>IF(B37&lt;=$C$2,1,IF(B37=$C$2+1,PRODUCT($D$5:D37),E36*D37))</f>
        <v>2.0018253300311306E-4</v>
      </c>
      <c r="F37" s="10">
        <f t="shared" si="0"/>
        <v>0.27409417313863743</v>
      </c>
      <c r="G37" s="10">
        <f t="shared" si="5"/>
        <v>5.4868865860286272E-5</v>
      </c>
      <c r="I37" s="13">
        <f t="shared" si="1"/>
        <v>1.0009126650155653</v>
      </c>
      <c r="J37" s="11">
        <f>(SUM(G38:$G$79)*$I$1)</f>
        <v>0.3661476103225984</v>
      </c>
      <c r="K37" s="11">
        <f t="shared" si="6"/>
        <v>-0.27434432930143121</v>
      </c>
      <c r="Q37" s="65">
        <v>33</v>
      </c>
      <c r="R37" s="66">
        <f>Inputs!H40</f>
        <v>7.5600000000000005E-4</v>
      </c>
    </row>
    <row r="38" spans="1:18" x14ac:dyDescent="0.25">
      <c r="A38">
        <f t="shared" si="2"/>
        <v>113</v>
      </c>
      <c r="B38">
        <v>34</v>
      </c>
      <c r="C38" s="12">
        <f t="shared" si="3"/>
        <v>0.4</v>
      </c>
      <c r="D38" s="10">
        <f t="shared" si="4"/>
        <v>0.6</v>
      </c>
      <c r="E38" s="198">
        <f>IF(B38&lt;=$C$2,1,IF(B38=$C$2+1,PRODUCT($D$5:D38),E37*D38))</f>
        <v>1.2010951980186783E-4</v>
      </c>
      <c r="F38" s="10">
        <f t="shared" si="0"/>
        <v>0.26355208955638215</v>
      </c>
      <c r="G38" s="10">
        <f t="shared" si="5"/>
        <v>3.1655114919395927E-5</v>
      </c>
      <c r="I38" s="13">
        <f t="shared" si="1"/>
        <v>0.60054759900933918</v>
      </c>
      <c r="J38" s="11">
        <f>(SUM(G39:$G$79)*$I$1)</f>
        <v>0.2078720357256188</v>
      </c>
      <c r="K38" s="11">
        <f t="shared" si="6"/>
        <v>-0.15827557459697961</v>
      </c>
      <c r="Q38" s="65">
        <v>34</v>
      </c>
      <c r="R38" s="66">
        <f>Inputs!H41</f>
        <v>7.5600000000000005E-4</v>
      </c>
    </row>
    <row r="39" spans="1:18" x14ac:dyDescent="0.25">
      <c r="A39">
        <f t="shared" si="2"/>
        <v>114</v>
      </c>
      <c r="B39">
        <v>35</v>
      </c>
      <c r="C39" s="12">
        <f t="shared" si="3"/>
        <v>0.4</v>
      </c>
      <c r="D39" s="10">
        <f t="shared" si="4"/>
        <v>0.6</v>
      </c>
      <c r="E39" s="198">
        <f>IF(B39&lt;=$C$2,1,IF(B39=$C$2+1,PRODUCT($D$5:D39),E38*D39))</f>
        <v>7.2065711881120698E-5</v>
      </c>
      <c r="F39" s="10">
        <f t="shared" si="0"/>
        <v>0.25341547072729048</v>
      </c>
      <c r="G39" s="10">
        <f t="shared" si="5"/>
        <v>1.8262566299651492E-5</v>
      </c>
      <c r="I39" s="13">
        <f t="shared" si="1"/>
        <v>0.36032855940560349</v>
      </c>
      <c r="J39" s="11">
        <f>(SUM(G40:$G$79)*$I$1)</f>
        <v>0.11655920422736132</v>
      </c>
      <c r="K39" s="11">
        <f t="shared" si="6"/>
        <v>-9.1312831498257474E-2</v>
      </c>
      <c r="Q39" s="65">
        <v>35</v>
      </c>
      <c r="R39" s="66">
        <f>Inputs!H42</f>
        <v>7.5600000000000005E-4</v>
      </c>
    </row>
    <row r="40" spans="1:18" x14ac:dyDescent="0.25">
      <c r="A40">
        <f t="shared" si="2"/>
        <v>115</v>
      </c>
      <c r="B40">
        <v>36</v>
      </c>
      <c r="C40" s="12">
        <f t="shared" si="3"/>
        <v>0.4</v>
      </c>
      <c r="D40" s="10">
        <f t="shared" si="4"/>
        <v>0.6</v>
      </c>
      <c r="E40" s="198">
        <f>IF(B40&lt;=$C$2,1,IF(B40=$C$2+1,PRODUCT($D$5:D40),E39*D40))</f>
        <v>4.3239427128672414E-5</v>
      </c>
      <c r="F40" s="10">
        <f t="shared" si="0"/>
        <v>0.24366872185316396</v>
      </c>
      <c r="G40" s="10">
        <f t="shared" si="5"/>
        <v>1.0536095942106631E-5</v>
      </c>
      <c r="I40" s="13">
        <f t="shared" si="1"/>
        <v>0.21619713564336207</v>
      </c>
      <c r="J40" s="11">
        <f>(SUM(G41:$G$79)*$I$1)</f>
        <v>6.3878724516828189E-2</v>
      </c>
      <c r="K40" s="11">
        <f t="shared" si="6"/>
        <v>-5.2680479710533135E-2</v>
      </c>
      <c r="Q40" s="65">
        <v>36</v>
      </c>
      <c r="R40" s="66">
        <f>Inputs!H43</f>
        <v>7.5600000000000005E-4</v>
      </c>
    </row>
    <row r="41" spans="1:18" x14ac:dyDescent="0.25">
      <c r="A41">
        <f t="shared" si="2"/>
        <v>116</v>
      </c>
      <c r="B41">
        <v>37</v>
      </c>
      <c r="C41" s="12">
        <f t="shared" si="3"/>
        <v>0.4</v>
      </c>
      <c r="D41" s="10">
        <f t="shared" si="4"/>
        <v>0.6</v>
      </c>
      <c r="E41" s="198">
        <f>IF(B41&lt;=$C$2,1,IF(B41=$C$2+1,PRODUCT($D$5:D41),E40*D41))</f>
        <v>2.5943656277203448E-5</v>
      </c>
      <c r="F41" s="10">
        <f t="shared" si="0"/>
        <v>0.23429684793573452</v>
      </c>
      <c r="G41" s="10">
        <f t="shared" si="5"/>
        <v>6.0785168896769005E-6</v>
      </c>
      <c r="I41" s="13">
        <f t="shared" si="1"/>
        <v>0.12971828138601724</v>
      </c>
      <c r="J41" s="11">
        <f>(SUM(G42:$G$79)*$I$1)</f>
        <v>3.3486140068443672E-2</v>
      </c>
      <c r="K41" s="11">
        <f t="shared" si="6"/>
        <v>-3.0392584448384517E-2</v>
      </c>
      <c r="Q41" s="65">
        <v>37</v>
      </c>
      <c r="R41" s="66">
        <f>Inputs!H44</f>
        <v>7.5600000000000005E-4</v>
      </c>
    </row>
    <row r="42" spans="1:18" x14ac:dyDescent="0.25">
      <c r="A42">
        <f t="shared" si="2"/>
        <v>117</v>
      </c>
      <c r="B42">
        <v>38</v>
      </c>
      <c r="C42" s="12">
        <f t="shared" si="3"/>
        <v>0.4</v>
      </c>
      <c r="D42" s="10">
        <f t="shared" si="4"/>
        <v>0.6</v>
      </c>
      <c r="E42" s="198">
        <f>IF(B42&lt;=$C$2,1,IF(B42=$C$2+1,PRODUCT($D$5:D42),E41*D42))</f>
        <v>1.5566193766322069E-5</v>
      </c>
      <c r="F42" s="10">
        <f t="shared" si="0"/>
        <v>0.22528543070743706</v>
      </c>
      <c r="G42" s="10">
        <f t="shared" si="5"/>
        <v>3.5068366671212894E-6</v>
      </c>
      <c r="I42" s="13">
        <f t="shared" si="1"/>
        <v>7.783096883161035E-2</v>
      </c>
      <c r="J42" s="11">
        <f>(SUM(G43:$G$79)*$I$1)</f>
        <v>1.5951956732837225E-2</v>
      </c>
      <c r="K42" s="11">
        <f t="shared" si="6"/>
        <v>-1.7534183335606447E-2</v>
      </c>
      <c r="Q42" s="65">
        <v>38</v>
      </c>
      <c r="R42" s="66">
        <f>Inputs!H45</f>
        <v>7.5600000000000005E-4</v>
      </c>
    </row>
    <row r="43" spans="1:18" x14ac:dyDescent="0.25">
      <c r="A43">
        <f t="shared" si="2"/>
        <v>118</v>
      </c>
      <c r="B43">
        <v>39</v>
      </c>
      <c r="C43" s="12">
        <f t="shared" si="3"/>
        <v>0.4</v>
      </c>
      <c r="D43" s="10">
        <f t="shared" si="4"/>
        <v>0.6</v>
      </c>
      <c r="E43" s="198">
        <f>IF(B43&lt;=$C$2,1,IF(B43=$C$2+1,PRODUCT($D$5:D43),E42*D43))</f>
        <v>9.3397162597932416E-6</v>
      </c>
      <c r="F43" s="10">
        <f t="shared" si="0"/>
        <v>0.21662060644945874</v>
      </c>
      <c r="G43" s="10">
        <f t="shared" si="5"/>
        <v>2.0231750002622824E-6</v>
      </c>
      <c r="I43" s="13">
        <f t="shared" si="1"/>
        <v>4.6698581298966209E-2</v>
      </c>
      <c r="J43" s="11">
        <f>(SUM(G44:$G$79)*$I$1)</f>
        <v>5.8360817315258121E-3</v>
      </c>
      <c r="K43" s="11">
        <f t="shared" si="6"/>
        <v>-1.0115875001311413E-2</v>
      </c>
      <c r="Q43" s="65">
        <v>39</v>
      </c>
      <c r="R43" s="66">
        <f>Inputs!H46</f>
        <v>8.0000000000000004E-4</v>
      </c>
    </row>
    <row r="44" spans="1:18" x14ac:dyDescent="0.25">
      <c r="A44">
        <f t="shared" si="2"/>
        <v>119</v>
      </c>
      <c r="B44">
        <v>40</v>
      </c>
      <c r="C44" s="12">
        <f t="shared" si="3"/>
        <v>0.4</v>
      </c>
      <c r="D44" s="10">
        <f t="shared" si="4"/>
        <v>0.6</v>
      </c>
      <c r="E44" s="198">
        <f>IF(B44&lt;=$C$2,1,IF(B44=$C$2+1,PRODUCT($D$5:D44),E43*D44))</f>
        <v>5.6038297558759448E-6</v>
      </c>
      <c r="F44" s="10">
        <f t="shared" si="0"/>
        <v>0.20828904466294101</v>
      </c>
      <c r="G44" s="10">
        <f t="shared" si="5"/>
        <v>1.1672163463051625E-6</v>
      </c>
      <c r="I44" s="13">
        <f t="shared" si="1"/>
        <v>2.8019148779379725E-2</v>
      </c>
      <c r="J44" s="11">
        <f>(SUM(G45:$G$79)*$I$1)</f>
        <v>0</v>
      </c>
      <c r="K44" s="11">
        <f t="shared" si="6"/>
        <v>-5.8360817315258121E-3</v>
      </c>
      <c r="Q44" s="65">
        <v>40</v>
      </c>
      <c r="R44" s="66">
        <f>Inputs!H47</f>
        <v>8.5899999999999995E-4</v>
      </c>
    </row>
    <row r="45" spans="1:18" x14ac:dyDescent="0.25">
      <c r="A45">
        <f t="shared" si="2"/>
        <v>120</v>
      </c>
      <c r="B45">
        <v>41</v>
      </c>
      <c r="C45" s="12">
        <f t="shared" si="3"/>
        <v>1</v>
      </c>
      <c r="D45" s="10">
        <f t="shared" si="4"/>
        <v>0</v>
      </c>
      <c r="E45" s="198">
        <f>IF(B45&lt;=$C$2,1,IF(B45=$C$2+1,PRODUCT($D$5:D45),E44*D45))</f>
        <v>0</v>
      </c>
      <c r="F45" s="10">
        <f t="shared" si="0"/>
        <v>0</v>
      </c>
      <c r="G45" s="10">
        <f t="shared" si="5"/>
        <v>0</v>
      </c>
      <c r="I45" s="13">
        <f t="shared" si="1"/>
        <v>0</v>
      </c>
      <c r="J45" s="11">
        <f>(SUM(G46:$G$79)*$I$1)</f>
        <v>0</v>
      </c>
      <c r="K45" s="11">
        <f t="shared" si="6"/>
        <v>0</v>
      </c>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45">
    <cfRule type="cellIs" dxfId="16"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94"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69</v>
      </c>
      <c r="I1" s="3">
        <v>5000</v>
      </c>
      <c r="J1" s="181" t="s">
        <v>173</v>
      </c>
      <c r="L1" s="1"/>
      <c r="M1" s="4"/>
      <c r="N1" s="4"/>
      <c r="O1" s="4"/>
      <c r="P1" s="4"/>
      <c r="Q1" s="64"/>
      <c r="R1" s="28"/>
    </row>
    <row r="2" spans="1:18" ht="15.75" customHeight="1" thickBot="1" x14ac:dyDescent="0.3">
      <c r="B2" t="s">
        <v>227</v>
      </c>
      <c r="C2">
        <v>0</v>
      </c>
      <c r="F2" s="5">
        <f>'Asset and Liability Durations'!N26</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5.0123793790633515</v>
      </c>
      <c r="N3" s="10"/>
      <c r="O3" s="10"/>
      <c r="P3" s="10"/>
      <c r="Q3" s="31"/>
      <c r="R3" s="32"/>
    </row>
    <row r="4" spans="1:18" x14ac:dyDescent="0.25">
      <c r="A4">
        <v>85</v>
      </c>
      <c r="B4">
        <v>0</v>
      </c>
      <c r="C4" s="8"/>
      <c r="D4" s="7"/>
      <c r="E4" s="7"/>
      <c r="F4" s="7"/>
      <c r="G4" s="10">
        <v>1</v>
      </c>
      <c r="J4" s="11">
        <f>(SUM(G5:$G$79)*$I$1)</f>
        <v>27715.894524747113</v>
      </c>
      <c r="Q4" s="65">
        <v>0</v>
      </c>
      <c r="R4" s="66">
        <f>Inputs!H7</f>
        <v>1.6050000000000001E-3</v>
      </c>
    </row>
    <row r="5" spans="1:18" ht="15.75" thickBot="1" x14ac:dyDescent="0.3">
      <c r="A5">
        <f>B5+$A$4</f>
        <v>86</v>
      </c>
      <c r="B5">
        <v>1</v>
      </c>
      <c r="C5" s="12">
        <f>VLOOKUP(A5,$Q$4:$R$124,2,FALSE)</f>
        <v>6.7514000000000005E-2</v>
      </c>
      <c r="D5" s="10">
        <f>1-C5</f>
        <v>0.93248600000000004</v>
      </c>
      <c r="E5" s="198">
        <f>IF(B5&lt;=$C$2,1,IF(B5=$C$2+1,PRODUCT($D$5:D5),E4*D5))</f>
        <v>0.93248600000000004</v>
      </c>
      <c r="F5" s="10">
        <f t="shared" ref="F5:F39" si="0">IF(D5=0,0,(1+$F$2)^-B5)</f>
        <v>0.96153846153846145</v>
      </c>
      <c r="G5" s="10">
        <f>F5*E5</f>
        <v>0.89662115384615382</v>
      </c>
      <c r="I5" s="13">
        <f t="shared" ref="I5:I39" si="1">E5*$I$1</f>
        <v>4662.43</v>
      </c>
      <c r="J5" s="11">
        <f>(SUM(G6:$G$79)*$I$1)</f>
        <v>23232.788755516336</v>
      </c>
      <c r="K5" s="11">
        <f>J5-J4</f>
        <v>-4483.1057692307768</v>
      </c>
      <c r="L5" s="14" t="s">
        <v>16</v>
      </c>
      <c r="M5" s="14" t="s">
        <v>17</v>
      </c>
      <c r="N5" s="14" t="s">
        <v>18</v>
      </c>
      <c r="O5" s="14" t="s">
        <v>47</v>
      </c>
      <c r="Q5" s="65">
        <v>1</v>
      </c>
      <c r="R5" s="66">
        <f>Inputs!H8</f>
        <v>4.0099999999999999E-4</v>
      </c>
    </row>
    <row r="6" spans="1:18" x14ac:dyDescent="0.25">
      <c r="A6">
        <f t="shared" ref="A6:A39" si="2">B6+$A$4</f>
        <v>87</v>
      </c>
      <c r="B6">
        <v>2</v>
      </c>
      <c r="C6" s="12">
        <f t="shared" ref="C6:C39" si="3">VLOOKUP(A6,$Q$4:$R$124,2,FALSE)</f>
        <v>7.6340000000000005E-2</v>
      </c>
      <c r="D6" s="10">
        <f t="shared" ref="D6:D39" si="4">1-C6</f>
        <v>0.92366000000000004</v>
      </c>
      <c r="E6" s="198">
        <f>IF(B6&lt;=$C$2,1,IF(B6=$C$2+1,PRODUCT($D$5:D6),E5*D6))</f>
        <v>0.86130001876000006</v>
      </c>
      <c r="F6" s="10">
        <f t="shared" si="0"/>
        <v>0.92455621301775137</v>
      </c>
      <c r="G6" s="10">
        <f t="shared" ref="G6:G39" si="5">F6*E6</f>
        <v>0.79632028361686391</v>
      </c>
      <c r="I6" s="13">
        <f t="shared" si="1"/>
        <v>4306.5000938000003</v>
      </c>
      <c r="J6" s="11">
        <f>(SUM(G7:$G$79)*$I$1)</f>
        <v>19251.187337432009</v>
      </c>
      <c r="K6" s="11">
        <f t="shared" ref="K6:K39" si="6">J6-J5</f>
        <v>-3981.6014180843267</v>
      </c>
      <c r="L6" s="14">
        <v>2</v>
      </c>
      <c r="M6" s="54" t="s">
        <v>44</v>
      </c>
      <c r="N6" s="15">
        <f>SUM(I5:I7)</f>
        <v>12903.400257496807</v>
      </c>
      <c r="O6" s="16">
        <f>N6/SUM($N$6:$N$9)</f>
        <v>0.37832324650653892</v>
      </c>
      <c r="Q6" s="65">
        <v>2</v>
      </c>
      <c r="R6" s="66">
        <f>Inputs!H9</f>
        <v>2.7500000000000002E-4</v>
      </c>
    </row>
    <row r="7" spans="1:18" x14ac:dyDescent="0.25">
      <c r="A7">
        <f t="shared" si="2"/>
        <v>88</v>
      </c>
      <c r="B7">
        <v>3</v>
      </c>
      <c r="C7" s="12">
        <f t="shared" si="3"/>
        <v>8.6388000000000006E-2</v>
      </c>
      <c r="D7" s="10">
        <f t="shared" si="4"/>
        <v>0.91361199999999998</v>
      </c>
      <c r="E7" s="198">
        <f>IF(B7&lt;=$C$2,1,IF(B7=$C$2+1,PRODUCT($D$5:D7),E6*D7))</f>
        <v>0.7868940327393612</v>
      </c>
      <c r="F7" s="10">
        <f t="shared" si="0"/>
        <v>0.88899635867091487</v>
      </c>
      <c r="G7" s="10">
        <f t="shared" si="5"/>
        <v>0.69954592976516383</v>
      </c>
      <c r="I7" s="13">
        <f t="shared" si="1"/>
        <v>3934.4701636968061</v>
      </c>
      <c r="J7" s="11">
        <f>(SUM(G8:$G$79)*$I$1)</f>
        <v>15753.45768860619</v>
      </c>
      <c r="K7" s="11">
        <f t="shared" si="6"/>
        <v>-3497.7296488258198</v>
      </c>
      <c r="L7" s="14">
        <v>5</v>
      </c>
      <c r="M7" s="19" t="s">
        <v>45</v>
      </c>
      <c r="N7" s="17">
        <f>SUM(I8:I11)</f>
        <v>11871.662274175331</v>
      </c>
      <c r="O7" s="18">
        <f>N7/SUM($N$6:$N$9)</f>
        <v>0.34807304457488064</v>
      </c>
      <c r="Q7" s="65">
        <v>3</v>
      </c>
      <c r="R7" s="66">
        <f>Inputs!H10</f>
        <v>2.2900000000000001E-4</v>
      </c>
    </row>
    <row r="8" spans="1:18" x14ac:dyDescent="0.25">
      <c r="A8">
        <f t="shared" si="2"/>
        <v>89</v>
      </c>
      <c r="B8">
        <v>4</v>
      </c>
      <c r="C8" s="12">
        <f t="shared" si="3"/>
        <v>9.7633999999999999E-2</v>
      </c>
      <c r="D8" s="10">
        <f t="shared" si="4"/>
        <v>0.902366</v>
      </c>
      <c r="E8" s="198">
        <f>IF(B8&lt;=$C$2,1,IF(B8=$C$2+1,PRODUCT($D$5:D8),E7*D8))</f>
        <v>0.71006642074688642</v>
      </c>
      <c r="F8" s="10">
        <f t="shared" si="0"/>
        <v>0.85480419102972571</v>
      </c>
      <c r="G8" s="10">
        <f>F8*E8</f>
        <v>0.60696775236391509</v>
      </c>
      <c r="I8" s="13">
        <f t="shared" si="1"/>
        <v>3550.3321037344322</v>
      </c>
      <c r="J8" s="11">
        <f>(SUM(G9:$G$79)*$I$1)</f>
        <v>12718.618926786616</v>
      </c>
      <c r="K8" s="11">
        <f t="shared" si="6"/>
        <v>-3034.8387618195738</v>
      </c>
      <c r="L8" s="14">
        <v>10</v>
      </c>
      <c r="M8" s="19" t="s">
        <v>46</v>
      </c>
      <c r="N8" s="17">
        <f>SUM(I12:I19)</f>
        <v>8581.9656729199451</v>
      </c>
      <c r="O8" s="18">
        <f>N8/SUM($N$6:$N$9)</f>
        <v>0.25162027450093233</v>
      </c>
      <c r="Q8" s="65">
        <v>4</v>
      </c>
      <c r="R8" s="66">
        <f>Inputs!H11</f>
        <v>1.74E-4</v>
      </c>
    </row>
    <row r="9" spans="1:18" ht="15.75" thickBot="1" x14ac:dyDescent="0.3">
      <c r="A9">
        <f t="shared" si="2"/>
        <v>90</v>
      </c>
      <c r="B9">
        <v>5</v>
      </c>
      <c r="C9" s="12">
        <f t="shared" si="3"/>
        <v>0.10999299999999999</v>
      </c>
      <c r="D9" s="10">
        <f t="shared" si="4"/>
        <v>0.89000699999999999</v>
      </c>
      <c r="E9" s="198">
        <f>IF(B9&lt;=$C$2,1,IF(B9=$C$2+1,PRODUCT($D$5:D9),E8*D9))</f>
        <v>0.63196408492967415</v>
      </c>
      <c r="F9" s="10">
        <f t="shared" si="0"/>
        <v>0.82192710675935154</v>
      </c>
      <c r="G9" s="10">
        <f t="shared" si="5"/>
        <v>0.51942841190206823</v>
      </c>
      <c r="I9" s="13">
        <f t="shared" si="1"/>
        <v>3159.8204246483706</v>
      </c>
      <c r="J9" s="11">
        <f>(SUM(G10:$G$79)*$I$1)</f>
        <v>10121.476867276278</v>
      </c>
      <c r="K9" s="11">
        <f t="shared" si="6"/>
        <v>-2597.1420595103373</v>
      </c>
      <c r="L9" s="14">
        <v>30</v>
      </c>
      <c r="M9" s="20" t="s">
        <v>48</v>
      </c>
      <c r="N9" s="21">
        <f>SUM(I20:I70)</f>
        <v>749.78488883431783</v>
      </c>
      <c r="O9" s="22">
        <f>N9/SUM($N$6:$N$9)</f>
        <v>2.198343441764801E-2</v>
      </c>
      <c r="Q9" s="65">
        <v>5</v>
      </c>
      <c r="R9" s="66">
        <f>Inputs!H12</f>
        <v>1.6799999999999999E-4</v>
      </c>
    </row>
    <row r="10" spans="1:18" x14ac:dyDescent="0.25">
      <c r="A10">
        <f t="shared" si="2"/>
        <v>91</v>
      </c>
      <c r="B10">
        <v>6</v>
      </c>
      <c r="C10" s="12">
        <f t="shared" si="3"/>
        <v>0.12311900000000001</v>
      </c>
      <c r="D10" s="10">
        <f t="shared" si="4"/>
        <v>0.87688100000000002</v>
      </c>
      <c r="E10" s="198">
        <f>IF(B10&lt;=$C$2,1,IF(B10=$C$2+1,PRODUCT($D$5:D10),E9*D10))</f>
        <v>0.55415729875721764</v>
      </c>
      <c r="F10" s="10">
        <f t="shared" si="0"/>
        <v>0.79031452573014571</v>
      </c>
      <c r="G10" s="10">
        <f t="shared" si="5"/>
        <v>0.43795856274720912</v>
      </c>
      <c r="I10" s="13">
        <f t="shared" si="1"/>
        <v>2770.7864937860882</v>
      </c>
      <c r="J10" s="11">
        <f>(SUM(G11:$G$79)*$I$1)</f>
        <v>7931.6840535402398</v>
      </c>
      <c r="K10" s="11">
        <f t="shared" si="6"/>
        <v>-2189.7928137360386</v>
      </c>
      <c r="L10" s="53">
        <f>+SUMPRODUCT(L6:L9,O6:O9)</f>
        <v>5.6727174934262452</v>
      </c>
      <c r="O10" s="23">
        <f>SUM(O6:O9)</f>
        <v>0.99999999999999989</v>
      </c>
      <c r="Q10" s="65">
        <v>6</v>
      </c>
      <c r="R10" s="66">
        <f>Inputs!H13</f>
        <v>1.65E-4</v>
      </c>
    </row>
    <row r="11" spans="1:18" x14ac:dyDescent="0.25">
      <c r="A11">
        <f t="shared" si="2"/>
        <v>92</v>
      </c>
      <c r="B11">
        <v>7</v>
      </c>
      <c r="C11" s="12">
        <f t="shared" si="3"/>
        <v>0.13716800000000001</v>
      </c>
      <c r="D11" s="10">
        <f t="shared" si="4"/>
        <v>0.86283200000000004</v>
      </c>
      <c r="E11" s="198">
        <f>IF(B11&lt;=$C$2,1,IF(B11=$C$2+1,PRODUCT($D$5:D11),E10*D11))</f>
        <v>0.47814465040128762</v>
      </c>
      <c r="F11" s="10">
        <f t="shared" si="0"/>
        <v>0.75991781320206331</v>
      </c>
      <c r="G11" s="10">
        <f t="shared" si="5"/>
        <v>0.36335063712721155</v>
      </c>
      <c r="I11" s="13">
        <f t="shared" si="1"/>
        <v>2390.7232520064381</v>
      </c>
      <c r="J11" s="11">
        <f>(SUM(G12:$G$79)*$I$1)</f>
        <v>6114.9308679041824</v>
      </c>
      <c r="K11" s="11">
        <f t="shared" si="6"/>
        <v>-1816.7531856360574</v>
      </c>
      <c r="Q11" s="65">
        <v>7</v>
      </c>
      <c r="R11" s="66">
        <f>Inputs!H14</f>
        <v>1.5899999999999999E-4</v>
      </c>
    </row>
    <row r="12" spans="1:18" x14ac:dyDescent="0.25">
      <c r="A12">
        <f t="shared" si="2"/>
        <v>93</v>
      </c>
      <c r="B12">
        <v>8</v>
      </c>
      <c r="C12" s="12">
        <f t="shared" si="3"/>
        <v>0.152171</v>
      </c>
      <c r="D12" s="10">
        <f t="shared" si="4"/>
        <v>0.84782899999999994</v>
      </c>
      <c r="E12" s="198">
        <f>IF(B12&lt;=$C$2,1,IF(B12=$C$2+1,PRODUCT($D$5:D12),E11*D12))</f>
        <v>0.40538490080507328</v>
      </c>
      <c r="F12" s="10">
        <f t="shared" si="0"/>
        <v>0.73069020500198378</v>
      </c>
      <c r="G12" s="10">
        <f t="shared" si="5"/>
        <v>0.29621077627396786</v>
      </c>
      <c r="I12" s="13">
        <f t="shared" si="1"/>
        <v>2026.9245040253663</v>
      </c>
      <c r="J12" s="11">
        <f>(SUM(G13:$G$79)*$I$1)</f>
        <v>4633.8769865343393</v>
      </c>
      <c r="K12" s="11">
        <f t="shared" si="6"/>
        <v>-1481.0538813698431</v>
      </c>
      <c r="Q12" s="65">
        <v>8</v>
      </c>
      <c r="R12" s="66">
        <f>Inputs!H15</f>
        <v>1.4300000000000001E-4</v>
      </c>
    </row>
    <row r="13" spans="1:18" x14ac:dyDescent="0.25">
      <c r="A13">
        <f t="shared" si="2"/>
        <v>94</v>
      </c>
      <c r="B13">
        <v>9</v>
      </c>
      <c r="C13" s="12">
        <f t="shared" si="3"/>
        <v>0.16819400000000001</v>
      </c>
      <c r="D13" s="10">
        <f t="shared" si="4"/>
        <v>0.83180600000000005</v>
      </c>
      <c r="E13" s="198">
        <f>IF(B13&lt;=$C$2,1,IF(B13=$C$2+1,PRODUCT($D$5:D13),E12*D13))</f>
        <v>0.33720159279906481</v>
      </c>
      <c r="F13" s="10">
        <f t="shared" si="0"/>
        <v>0.70258673557883045</v>
      </c>
      <c r="G13" s="10">
        <f t="shared" si="5"/>
        <v>0.236913366316677</v>
      </c>
      <c r="I13" s="13">
        <f t="shared" si="1"/>
        <v>1686.007963995324</v>
      </c>
      <c r="J13" s="11">
        <f>(SUM(G14:$G$79)*$I$1)</f>
        <v>3449.3101549509543</v>
      </c>
      <c r="K13" s="11">
        <f t="shared" si="6"/>
        <v>-1184.566831583385</v>
      </c>
      <c r="Q13" s="65">
        <v>9</v>
      </c>
      <c r="R13" s="66">
        <f>Inputs!H16</f>
        <v>1.2899999999999999E-4</v>
      </c>
    </row>
    <row r="14" spans="1:18" x14ac:dyDescent="0.25">
      <c r="A14">
        <f t="shared" si="2"/>
        <v>95</v>
      </c>
      <c r="B14">
        <v>10</v>
      </c>
      <c r="C14" s="12">
        <f t="shared" si="3"/>
        <v>0.18526000000000001</v>
      </c>
      <c r="D14" s="10">
        <f t="shared" si="4"/>
        <v>0.81474000000000002</v>
      </c>
      <c r="E14" s="198">
        <f>IF(B14&lt;=$C$2,1,IF(B14=$C$2+1,PRODUCT($D$5:D14),E13*D14))</f>
        <v>0.27473162571711007</v>
      </c>
      <c r="F14" s="10">
        <f t="shared" si="0"/>
        <v>0.67556416882579851</v>
      </c>
      <c r="G14" s="10">
        <f t="shared" si="5"/>
        <v>0.18559884237773983</v>
      </c>
      <c r="I14" s="13">
        <f t="shared" si="1"/>
        <v>1373.6581285855505</v>
      </c>
      <c r="J14" s="11">
        <f>(SUM(G15:$G$79)*$I$1)</f>
        <v>2521.315943062255</v>
      </c>
      <c r="K14" s="11">
        <f t="shared" si="6"/>
        <v>-927.99421188869928</v>
      </c>
      <c r="Q14" s="65">
        <v>10</v>
      </c>
      <c r="R14" s="66">
        <f>Inputs!H17</f>
        <v>1.13E-4</v>
      </c>
    </row>
    <row r="15" spans="1:18" x14ac:dyDescent="0.25">
      <c r="A15">
        <f t="shared" si="2"/>
        <v>96</v>
      </c>
      <c r="B15">
        <v>11</v>
      </c>
      <c r="C15" s="12">
        <f t="shared" si="3"/>
        <v>0.197322</v>
      </c>
      <c r="D15" s="10">
        <f t="shared" si="4"/>
        <v>0.802678</v>
      </c>
      <c r="E15" s="198">
        <f>IF(B15&lt;=$C$2,1,IF(B15=$C$2+1,PRODUCT($D$5:D15),E14*D15))</f>
        <v>0.22052103186735847</v>
      </c>
      <c r="F15" s="10">
        <f t="shared" si="0"/>
        <v>0.6495809315632679</v>
      </c>
      <c r="G15" s="10">
        <f t="shared" si="5"/>
        <v>0.14324625730969182</v>
      </c>
      <c r="I15" s="13">
        <f t="shared" si="1"/>
        <v>1102.6051593367924</v>
      </c>
      <c r="J15" s="11">
        <f>(SUM(G16:$G$79)*$I$1)</f>
        <v>1805.0846565137965</v>
      </c>
      <c r="K15" s="11">
        <f t="shared" si="6"/>
        <v>-716.23128654845846</v>
      </c>
      <c r="Q15" s="65">
        <v>11</v>
      </c>
      <c r="R15" s="66">
        <f>Inputs!H18</f>
        <v>1.11E-4</v>
      </c>
    </row>
    <row r="16" spans="1:18" x14ac:dyDescent="0.25">
      <c r="A16">
        <f t="shared" si="2"/>
        <v>97</v>
      </c>
      <c r="B16">
        <v>12</v>
      </c>
      <c r="C16" s="12">
        <f t="shared" si="3"/>
        <v>0.214751</v>
      </c>
      <c r="D16" s="10">
        <f t="shared" si="4"/>
        <v>0.78524899999999997</v>
      </c>
      <c r="E16" s="198">
        <f>IF(B16&lt;=$C$2,1,IF(B16=$C$2+1,PRODUCT($D$5:D16),E15*D16))</f>
        <v>0.17316391975281137</v>
      </c>
      <c r="F16" s="10">
        <f t="shared" si="0"/>
        <v>0.62459704958006512</v>
      </c>
      <c r="G16" s="10">
        <f t="shared" si="5"/>
        <v>0.10815767337132515</v>
      </c>
      <c r="I16" s="13">
        <f t="shared" si="1"/>
        <v>865.81959876405688</v>
      </c>
      <c r="J16" s="11">
        <f>(SUM(G17:$G$79)*$I$1)</f>
        <v>1264.296289657171</v>
      </c>
      <c r="K16" s="11">
        <f t="shared" si="6"/>
        <v>-540.78836685662554</v>
      </c>
      <c r="Q16" s="65">
        <v>12</v>
      </c>
      <c r="R16" s="66">
        <f>Inputs!H19</f>
        <v>1.3200000000000001E-4</v>
      </c>
    </row>
    <row r="17" spans="1:18" x14ac:dyDescent="0.25">
      <c r="A17">
        <f t="shared" si="2"/>
        <v>98</v>
      </c>
      <c r="B17">
        <v>13</v>
      </c>
      <c r="C17" s="12">
        <f t="shared" si="3"/>
        <v>0.23250699999999999</v>
      </c>
      <c r="D17" s="10">
        <f t="shared" si="4"/>
        <v>0.76749299999999998</v>
      </c>
      <c r="E17" s="198">
        <f>IF(B17&lt;=$C$2,1,IF(B17=$C$2+1,PRODUCT($D$5:D17),E16*D17))</f>
        <v>0.13290209626284447</v>
      </c>
      <c r="F17" s="10">
        <f t="shared" si="0"/>
        <v>0.600574086134678</v>
      </c>
      <c r="G17" s="10">
        <f t="shared" si="5"/>
        <v>7.9817555008440816E-2</v>
      </c>
      <c r="I17" s="13">
        <f t="shared" si="1"/>
        <v>664.51048131422237</v>
      </c>
      <c r="J17" s="11">
        <f>(SUM(G18:$G$79)*$I$1)</f>
        <v>865.20851461496648</v>
      </c>
      <c r="K17" s="11">
        <f t="shared" si="6"/>
        <v>-399.0877750422045</v>
      </c>
      <c r="Q17" s="65">
        <v>13</v>
      </c>
      <c r="R17" s="66">
        <f>Inputs!H20</f>
        <v>1.6899999999999999E-4</v>
      </c>
    </row>
    <row r="18" spans="1:18" x14ac:dyDescent="0.25">
      <c r="A18">
        <f t="shared" si="2"/>
        <v>99</v>
      </c>
      <c r="B18">
        <v>14</v>
      </c>
      <c r="C18" s="12">
        <f t="shared" si="3"/>
        <v>0.25039699999999998</v>
      </c>
      <c r="D18" s="10">
        <f t="shared" si="4"/>
        <v>0.74960300000000002</v>
      </c>
      <c r="E18" s="198">
        <f>IF(B18&lt;=$C$2,1,IF(B18=$C$2+1,PRODUCT($D$5:D18),E17*D18))</f>
        <v>9.9623810064917009E-2</v>
      </c>
      <c r="F18" s="10">
        <f t="shared" si="0"/>
        <v>0.57747508282180582</v>
      </c>
      <c r="G18" s="10">
        <f t="shared" si="5"/>
        <v>5.75302679682618E-2</v>
      </c>
      <c r="I18" s="13">
        <f t="shared" si="1"/>
        <v>498.11905032458503</v>
      </c>
      <c r="J18" s="11">
        <f>(SUM(G19:$G$79)*$I$1)</f>
        <v>577.55717477365738</v>
      </c>
      <c r="K18" s="11">
        <f t="shared" si="6"/>
        <v>-287.6513398413091</v>
      </c>
      <c r="Q18" s="65">
        <v>14</v>
      </c>
      <c r="R18" s="66">
        <f>Inputs!H21</f>
        <v>2.13E-4</v>
      </c>
    </row>
    <row r="19" spans="1:18" x14ac:dyDescent="0.25">
      <c r="A19">
        <f t="shared" si="2"/>
        <v>100</v>
      </c>
      <c r="B19">
        <v>15</v>
      </c>
      <c r="C19" s="12">
        <f t="shared" si="3"/>
        <v>0.26860699999999998</v>
      </c>
      <c r="D19" s="10">
        <f t="shared" si="4"/>
        <v>0.73139299999999996</v>
      </c>
      <c r="E19" s="198">
        <f>IF(B19&lt;=$C$2,1,IF(B19=$C$2+1,PRODUCT($D$5:D19),E18*D19))</f>
        <v>7.2864157314809844E-2</v>
      </c>
      <c r="F19" s="10">
        <f t="shared" si="0"/>
        <v>0.55526450271327477</v>
      </c>
      <c r="G19" s="10">
        <f t="shared" si="5"/>
        <v>4.0458880077029712E-2</v>
      </c>
      <c r="I19" s="13">
        <f t="shared" si="1"/>
        <v>364.32078657404924</v>
      </c>
      <c r="J19" s="11">
        <f>(SUM(G20:$G$79)*$I$1)</f>
        <v>375.26277438850883</v>
      </c>
      <c r="K19" s="11">
        <f t="shared" si="6"/>
        <v>-202.29440038514855</v>
      </c>
      <c r="Q19" s="65">
        <v>15</v>
      </c>
      <c r="R19" s="66">
        <f>Inputs!H22</f>
        <v>2.5399999999999999E-4</v>
      </c>
    </row>
    <row r="20" spans="1:18" x14ac:dyDescent="0.25">
      <c r="A20">
        <f t="shared" si="2"/>
        <v>101</v>
      </c>
      <c r="B20">
        <v>16</v>
      </c>
      <c r="C20" s="12">
        <f t="shared" si="3"/>
        <v>0.290016</v>
      </c>
      <c r="D20" s="10">
        <f t="shared" si="4"/>
        <v>0.70998399999999995</v>
      </c>
      <c r="E20" s="198">
        <f>IF(B20&lt;=$C$2,1,IF(B20=$C$2+1,PRODUCT($D$5:D20),E19*D20))</f>
        <v>5.1732385866997951E-2</v>
      </c>
      <c r="F20" s="10">
        <f t="shared" si="0"/>
        <v>0.53390817568584104</v>
      </c>
      <c r="G20" s="10">
        <f t="shared" si="5"/>
        <v>2.7620343762124862E-2</v>
      </c>
      <c r="I20" s="13">
        <f t="shared" si="1"/>
        <v>258.66192933498974</v>
      </c>
      <c r="J20" s="11">
        <f>(SUM(G21:$G$79)*$I$1)</f>
        <v>237.16105557788475</v>
      </c>
      <c r="K20" s="11">
        <f t="shared" si="6"/>
        <v>-138.10171881062408</v>
      </c>
      <c r="Q20" s="65">
        <v>16</v>
      </c>
      <c r="R20" s="66">
        <f>Inputs!H23</f>
        <v>2.9300000000000002E-4</v>
      </c>
    </row>
    <row r="21" spans="1:18" x14ac:dyDescent="0.25">
      <c r="A21">
        <f t="shared" si="2"/>
        <v>102</v>
      </c>
      <c r="B21">
        <v>17</v>
      </c>
      <c r="C21" s="12">
        <f t="shared" si="3"/>
        <v>0.31184899999999999</v>
      </c>
      <c r="D21" s="10">
        <f t="shared" si="4"/>
        <v>0.68815099999999996</v>
      </c>
      <c r="E21" s="198">
        <f>IF(B21&lt;=$C$2,1,IF(B21=$C$2+1,PRODUCT($D$5:D21),E20*D21))</f>
        <v>3.5599693066760502E-2</v>
      </c>
      <c r="F21" s="10">
        <f t="shared" si="0"/>
        <v>0.51337324585177024</v>
      </c>
      <c r="G21" s="10">
        <f t="shared" si="5"/>
        <v>1.82759299810096E-2</v>
      </c>
      <c r="I21" s="13">
        <f t="shared" si="1"/>
        <v>177.9984653338025</v>
      </c>
      <c r="J21" s="11">
        <f>(SUM(G22:$G$79)*$I$1)</f>
        <v>145.78140567283668</v>
      </c>
      <c r="K21" s="11">
        <f t="shared" si="6"/>
        <v>-91.379649905048069</v>
      </c>
      <c r="Q21" s="65">
        <v>17</v>
      </c>
      <c r="R21" s="66">
        <f>Inputs!H24</f>
        <v>3.28E-4</v>
      </c>
    </row>
    <row r="22" spans="1:18" x14ac:dyDescent="0.25">
      <c r="A22">
        <f t="shared" si="2"/>
        <v>103</v>
      </c>
      <c r="B22">
        <v>18</v>
      </c>
      <c r="C22" s="12">
        <f t="shared" si="3"/>
        <v>0.33396199999999998</v>
      </c>
      <c r="D22" s="10">
        <f t="shared" si="4"/>
        <v>0.66603800000000002</v>
      </c>
      <c r="E22" s="198">
        <f>IF(B22&lt;=$C$2,1,IF(B22=$C$2+1,PRODUCT($D$5:D22),E21*D22))</f>
        <v>2.3710748370799031E-2</v>
      </c>
      <c r="F22" s="10">
        <f t="shared" si="0"/>
        <v>0.49362812101131748</v>
      </c>
      <c r="G22" s="10">
        <f t="shared" si="5"/>
        <v>1.1704292166049683E-2</v>
      </c>
      <c r="I22" s="13">
        <f t="shared" si="1"/>
        <v>118.55374185399515</v>
      </c>
      <c r="J22" s="11">
        <f>(SUM(G23:$G$79)*$I$1)</f>
        <v>87.259944842588283</v>
      </c>
      <c r="K22" s="11">
        <f t="shared" si="6"/>
        <v>-58.521460830248401</v>
      </c>
      <c r="Q22" s="65">
        <v>18</v>
      </c>
      <c r="R22" s="66">
        <f>Inputs!H25</f>
        <v>3.59E-4</v>
      </c>
    </row>
    <row r="23" spans="1:18" x14ac:dyDescent="0.25">
      <c r="A23">
        <f t="shared" si="2"/>
        <v>104</v>
      </c>
      <c r="B23">
        <v>19</v>
      </c>
      <c r="C23" s="12">
        <f t="shared" si="3"/>
        <v>0.356207</v>
      </c>
      <c r="D23" s="10">
        <f t="shared" si="4"/>
        <v>0.64379300000000006</v>
      </c>
      <c r="E23" s="198">
        <f>IF(B23&lt;=$C$2,1,IF(B23=$C$2+1,PRODUCT($D$5:D23),E22*D23))</f>
        <v>1.5264813825881822E-2</v>
      </c>
      <c r="F23" s="10">
        <f t="shared" si="0"/>
        <v>0.47464242404934376</v>
      </c>
      <c r="G23" s="10">
        <f t="shared" si="5"/>
        <v>7.2453282369784851E-3</v>
      </c>
      <c r="I23" s="13">
        <f t="shared" si="1"/>
        <v>76.324069129409111</v>
      </c>
      <c r="J23" s="11">
        <f>(SUM(G24:$G$79)*$I$1)</f>
        <v>51.033303657695846</v>
      </c>
      <c r="K23" s="11">
        <f t="shared" si="6"/>
        <v>-36.226641184892436</v>
      </c>
      <c r="Q23" s="65">
        <v>19</v>
      </c>
      <c r="R23" s="66">
        <f>Inputs!H26</f>
        <v>3.8699999999999997E-4</v>
      </c>
    </row>
    <row r="24" spans="1:18" x14ac:dyDescent="0.25">
      <c r="A24">
        <f t="shared" si="2"/>
        <v>105</v>
      </c>
      <c r="B24">
        <v>20</v>
      </c>
      <c r="C24" s="12">
        <f t="shared" si="3"/>
        <v>0.38</v>
      </c>
      <c r="D24" s="10">
        <f t="shared" si="4"/>
        <v>0.62</v>
      </c>
      <c r="E24" s="198">
        <f>IF(B24&lt;=$C$2,1,IF(B24=$C$2+1,PRODUCT($D$5:D24),E23*D24))</f>
        <v>9.4641845720467299E-3</v>
      </c>
      <c r="F24" s="10">
        <f t="shared" si="0"/>
        <v>0.45638694620129205</v>
      </c>
      <c r="G24" s="10">
        <f t="shared" si="5"/>
        <v>4.3193302951217896E-3</v>
      </c>
      <c r="I24" s="13">
        <f t="shared" si="1"/>
        <v>47.320922860233651</v>
      </c>
      <c r="J24" s="11">
        <f>(SUM(G25:$G$79)*$I$1)</f>
        <v>29.436652182086902</v>
      </c>
      <c r="K24" s="11">
        <f t="shared" si="6"/>
        <v>-21.596651475608944</v>
      </c>
      <c r="Q24" s="65">
        <v>20</v>
      </c>
      <c r="R24" s="66">
        <f>Inputs!H27</f>
        <v>4.1399999999999998E-4</v>
      </c>
    </row>
    <row r="25" spans="1:18" x14ac:dyDescent="0.25">
      <c r="A25">
        <f t="shared" si="2"/>
        <v>106</v>
      </c>
      <c r="B25">
        <v>21</v>
      </c>
      <c r="C25" s="12">
        <f t="shared" si="3"/>
        <v>0.4</v>
      </c>
      <c r="D25" s="10">
        <f t="shared" si="4"/>
        <v>0.6</v>
      </c>
      <c r="E25" s="198">
        <f>IF(B25&lt;=$C$2,1,IF(B25=$C$2+1,PRODUCT($D$5:D25),E24*D25))</f>
        <v>5.6785107432280376E-3</v>
      </c>
      <c r="F25" s="10">
        <f t="shared" si="0"/>
        <v>0.43883360211662686</v>
      </c>
      <c r="G25" s="10">
        <f t="shared" si="5"/>
        <v>2.4919213241087236E-3</v>
      </c>
      <c r="I25" s="13">
        <f t="shared" si="1"/>
        <v>28.392553716140188</v>
      </c>
      <c r="J25" s="11">
        <f>(SUM(G26:$G$79)*$I$1)</f>
        <v>16.977045561543285</v>
      </c>
      <c r="K25" s="11">
        <f t="shared" si="6"/>
        <v>-12.459606620543617</v>
      </c>
      <c r="Q25" s="65">
        <v>21</v>
      </c>
      <c r="R25" s="66">
        <f>Inputs!H28</f>
        <v>4.4299999999999998E-4</v>
      </c>
    </row>
    <row r="26" spans="1:18" x14ac:dyDescent="0.25">
      <c r="A26">
        <f t="shared" si="2"/>
        <v>107</v>
      </c>
      <c r="B26">
        <v>22</v>
      </c>
      <c r="C26" s="12">
        <f t="shared" si="3"/>
        <v>0.4</v>
      </c>
      <c r="D26" s="10">
        <f t="shared" si="4"/>
        <v>0.6</v>
      </c>
      <c r="E26" s="198">
        <f>IF(B26&lt;=$C$2,1,IF(B26=$C$2+1,PRODUCT($D$5:D26),E25*D26))</f>
        <v>3.4071064459368226E-3</v>
      </c>
      <c r="F26" s="10">
        <f t="shared" si="0"/>
        <v>0.42195538665060278</v>
      </c>
      <c r="G26" s="10">
        <f t="shared" si="5"/>
        <v>1.4376469177550331E-3</v>
      </c>
      <c r="I26" s="13">
        <f t="shared" si="1"/>
        <v>17.035532229684112</v>
      </c>
      <c r="J26" s="11">
        <f>(SUM(G27:$G$79)*$I$1)</f>
        <v>9.7888109727681183</v>
      </c>
      <c r="K26" s="11">
        <f t="shared" si="6"/>
        <v>-7.1882345887751669</v>
      </c>
      <c r="Q26" s="65">
        <v>22</v>
      </c>
      <c r="R26" s="66">
        <f>Inputs!H29</f>
        <v>4.73E-4</v>
      </c>
    </row>
    <row r="27" spans="1:18" x14ac:dyDescent="0.25">
      <c r="A27">
        <f t="shared" si="2"/>
        <v>108</v>
      </c>
      <c r="B27">
        <v>23</v>
      </c>
      <c r="C27" s="12">
        <f t="shared" si="3"/>
        <v>0.4</v>
      </c>
      <c r="D27" s="10">
        <f t="shared" si="4"/>
        <v>0.6</v>
      </c>
      <c r="E27" s="198">
        <f>IF(B27&lt;=$C$2,1,IF(B27=$C$2+1,PRODUCT($D$5:D27),E26*D27))</f>
        <v>2.0442638675620935E-3</v>
      </c>
      <c r="F27" s="10">
        <f t="shared" si="0"/>
        <v>0.40572633331788732</v>
      </c>
      <c r="G27" s="10">
        <f t="shared" si="5"/>
        <v>8.2941168332021145E-4</v>
      </c>
      <c r="I27" s="13">
        <f t="shared" si="1"/>
        <v>10.221319337810467</v>
      </c>
      <c r="J27" s="11">
        <f>(SUM(G28:$G$79)*$I$1)</f>
        <v>5.6417525561670621</v>
      </c>
      <c r="K27" s="11">
        <f t="shared" si="6"/>
        <v>-4.1470584166010562</v>
      </c>
      <c r="Q27" s="65">
        <v>23</v>
      </c>
      <c r="R27" s="66">
        <f>Inputs!H30</f>
        <v>5.13E-4</v>
      </c>
    </row>
    <row r="28" spans="1:18" x14ac:dyDescent="0.25">
      <c r="A28">
        <f t="shared" si="2"/>
        <v>109</v>
      </c>
      <c r="B28">
        <v>24</v>
      </c>
      <c r="C28" s="12">
        <f t="shared" si="3"/>
        <v>0.4</v>
      </c>
      <c r="D28" s="10">
        <f t="shared" si="4"/>
        <v>0.6</v>
      </c>
      <c r="E28" s="198">
        <f>IF(B28&lt;=$C$2,1,IF(B28=$C$2+1,PRODUCT($D$5:D28),E27*D28))</f>
        <v>1.226558320537256E-3</v>
      </c>
      <c r="F28" s="10">
        <f t="shared" si="0"/>
        <v>0.39012147434412242</v>
      </c>
      <c r="G28" s="10">
        <f t="shared" si="5"/>
        <v>4.7850674037704501E-4</v>
      </c>
      <c r="I28" s="13">
        <f t="shared" si="1"/>
        <v>6.1327916026862797</v>
      </c>
      <c r="J28" s="11">
        <f>(SUM(G29:$G$79)*$I$1)</f>
        <v>3.2492188542818363</v>
      </c>
      <c r="K28" s="11">
        <f t="shared" si="6"/>
        <v>-2.3925337018852257</v>
      </c>
      <c r="Q28" s="65">
        <v>24</v>
      </c>
      <c r="R28" s="66">
        <f>Inputs!H31</f>
        <v>5.5400000000000002E-4</v>
      </c>
    </row>
    <row r="29" spans="1:18" x14ac:dyDescent="0.25">
      <c r="A29">
        <f t="shared" si="2"/>
        <v>110</v>
      </c>
      <c r="B29">
        <v>25</v>
      </c>
      <c r="C29" s="12">
        <f t="shared" si="3"/>
        <v>0.4</v>
      </c>
      <c r="D29" s="10">
        <f t="shared" si="4"/>
        <v>0.6</v>
      </c>
      <c r="E29" s="198">
        <f>IF(B29&lt;=$C$2,1,IF(B29=$C$2+1,PRODUCT($D$5:D29),E28*D29))</f>
        <v>7.3593499232235357E-4</v>
      </c>
      <c r="F29" s="10">
        <f t="shared" si="0"/>
        <v>0.37511680225396377</v>
      </c>
      <c r="G29" s="10">
        <f t="shared" si="5"/>
        <v>2.7606158098675667E-4</v>
      </c>
      <c r="I29" s="13">
        <f t="shared" si="1"/>
        <v>3.6796749616117679</v>
      </c>
      <c r="J29" s="11">
        <f>(SUM(G30:$G$79)*$I$1)</f>
        <v>1.8689109493480531</v>
      </c>
      <c r="K29" s="11">
        <f t="shared" si="6"/>
        <v>-1.3803079049337832</v>
      </c>
      <c r="Q29" s="65">
        <v>25</v>
      </c>
      <c r="R29" s="66">
        <f>Inputs!H32</f>
        <v>6.02E-4</v>
      </c>
    </row>
    <row r="30" spans="1:18" x14ac:dyDescent="0.25">
      <c r="A30">
        <f t="shared" si="2"/>
        <v>111</v>
      </c>
      <c r="B30">
        <v>26</v>
      </c>
      <c r="C30" s="12">
        <f t="shared" si="3"/>
        <v>0.4</v>
      </c>
      <c r="D30" s="10">
        <f t="shared" si="4"/>
        <v>0.6</v>
      </c>
      <c r="E30" s="198">
        <f>IF(B30&lt;=$C$2,1,IF(B30=$C$2+1,PRODUCT($D$5:D30),E29*D30))</f>
        <v>4.4156099539341214E-4</v>
      </c>
      <c r="F30" s="10">
        <f t="shared" si="0"/>
        <v>0.36068923293650368</v>
      </c>
      <c r="G30" s="10">
        <f t="shared" si="5"/>
        <v>1.5926629672312887E-4</v>
      </c>
      <c r="I30" s="13">
        <f t="shared" si="1"/>
        <v>2.2078049769670609</v>
      </c>
      <c r="J30" s="11">
        <f>(SUM(G31:$G$79)*$I$1)</f>
        <v>1.0725794657324088</v>
      </c>
      <c r="K30" s="11">
        <f t="shared" si="6"/>
        <v>-0.79633148361564432</v>
      </c>
      <c r="Q30" s="65">
        <v>26</v>
      </c>
      <c r="R30" s="66">
        <f>Inputs!H33</f>
        <v>6.5499999999999998E-4</v>
      </c>
    </row>
    <row r="31" spans="1:18" x14ac:dyDescent="0.25">
      <c r="A31">
        <f t="shared" si="2"/>
        <v>112</v>
      </c>
      <c r="B31">
        <v>27</v>
      </c>
      <c r="C31" s="12">
        <f t="shared" si="3"/>
        <v>0.4</v>
      </c>
      <c r="D31" s="10">
        <f t="shared" si="4"/>
        <v>0.6</v>
      </c>
      <c r="E31" s="198">
        <f>IF(B31&lt;=$C$2,1,IF(B31=$C$2+1,PRODUCT($D$5:D31),E30*D31))</f>
        <v>2.6493659723604725E-4</v>
      </c>
      <c r="F31" s="10">
        <f t="shared" si="0"/>
        <v>0.3468165701312535</v>
      </c>
      <c r="G31" s="10">
        <f t="shared" si="5"/>
        <v>9.1884401955651248E-5</v>
      </c>
      <c r="I31" s="13">
        <f t="shared" si="1"/>
        <v>1.3246829861802363</v>
      </c>
      <c r="J31" s="11">
        <f>(SUM(G32:$G$79)*$I$1)</f>
        <v>0.61315745595415272</v>
      </c>
      <c r="K31" s="11">
        <f t="shared" si="6"/>
        <v>-0.45942200977825609</v>
      </c>
      <c r="Q31" s="65">
        <v>27</v>
      </c>
      <c r="R31" s="66">
        <f>Inputs!H34</f>
        <v>6.8800000000000003E-4</v>
      </c>
    </row>
    <row r="32" spans="1:18" x14ac:dyDescent="0.25">
      <c r="A32">
        <f t="shared" si="2"/>
        <v>113</v>
      </c>
      <c r="B32">
        <v>28</v>
      </c>
      <c r="C32" s="12">
        <f t="shared" si="3"/>
        <v>0.4</v>
      </c>
      <c r="D32" s="10">
        <f t="shared" si="4"/>
        <v>0.6</v>
      </c>
      <c r="E32" s="198">
        <f>IF(B32&lt;=$C$2,1,IF(B32=$C$2+1,PRODUCT($D$5:D32),E31*D32))</f>
        <v>1.5896195834162836E-4</v>
      </c>
      <c r="F32" s="10">
        <f t="shared" si="0"/>
        <v>0.3334774712800514</v>
      </c>
      <c r="G32" s="10">
        <f t="shared" si="5"/>
        <v>5.3010231897491094E-5</v>
      </c>
      <c r="I32" s="13">
        <f t="shared" si="1"/>
        <v>0.79480979170814181</v>
      </c>
      <c r="J32" s="11">
        <f>(SUM(G33:$G$79)*$I$1)</f>
        <v>0.34810629646669722</v>
      </c>
      <c r="K32" s="11">
        <f t="shared" si="6"/>
        <v>-0.2650511594874555</v>
      </c>
      <c r="Q32" s="65">
        <v>28</v>
      </c>
      <c r="R32" s="66">
        <f>Inputs!H35</f>
        <v>7.1000000000000002E-4</v>
      </c>
    </row>
    <row r="33" spans="1:18" x14ac:dyDescent="0.25">
      <c r="A33">
        <f t="shared" si="2"/>
        <v>114</v>
      </c>
      <c r="B33">
        <v>29</v>
      </c>
      <c r="C33" s="12">
        <f t="shared" si="3"/>
        <v>0.4</v>
      </c>
      <c r="D33" s="10">
        <f t="shared" si="4"/>
        <v>0.6</v>
      </c>
      <c r="E33" s="198">
        <f>IF(B33&lt;=$C$2,1,IF(B33=$C$2+1,PRODUCT($D$5:D33),E32*D33))</f>
        <v>9.5377175004977014E-5</v>
      </c>
      <c r="F33" s="10">
        <f t="shared" si="0"/>
        <v>0.32065141469235708</v>
      </c>
      <c r="G33" s="10">
        <f t="shared" si="5"/>
        <v>3.0582826094706401E-5</v>
      </c>
      <c r="I33" s="13">
        <f t="shared" si="1"/>
        <v>0.47688587502488505</v>
      </c>
      <c r="J33" s="11">
        <f>(SUM(G34:$G$79)*$I$1)</f>
        <v>0.19519216599316516</v>
      </c>
      <c r="K33" s="11">
        <f t="shared" si="6"/>
        <v>-0.15291413047353206</v>
      </c>
      <c r="Q33" s="65">
        <v>29</v>
      </c>
      <c r="R33" s="66">
        <f>Inputs!H36</f>
        <v>7.27E-4</v>
      </c>
    </row>
    <row r="34" spans="1:18" x14ac:dyDescent="0.25">
      <c r="A34">
        <f t="shared" si="2"/>
        <v>115</v>
      </c>
      <c r="B34">
        <v>30</v>
      </c>
      <c r="C34" s="12">
        <f t="shared" si="3"/>
        <v>0.4</v>
      </c>
      <c r="D34" s="10">
        <f t="shared" si="4"/>
        <v>0.6</v>
      </c>
      <c r="E34" s="198">
        <f>IF(B34&lt;=$C$2,1,IF(B34=$C$2+1,PRODUCT($D$5:D34),E33*D34))</f>
        <v>5.7226305002986203E-5</v>
      </c>
      <c r="F34" s="10">
        <f t="shared" si="0"/>
        <v>0.30831866797342034</v>
      </c>
      <c r="G34" s="10">
        <f t="shared" si="5"/>
        <v>1.7643938131561387E-5</v>
      </c>
      <c r="I34" s="13">
        <f t="shared" si="1"/>
        <v>0.286131525014931</v>
      </c>
      <c r="J34" s="11">
        <f>(SUM(G35:$G$79)*$I$1)</f>
        <v>0.10697247533535828</v>
      </c>
      <c r="K34" s="11">
        <f t="shared" si="6"/>
        <v>-8.8219690657806882E-2</v>
      </c>
      <c r="Q34" s="65">
        <v>30</v>
      </c>
      <c r="R34" s="66">
        <f>Inputs!H37</f>
        <v>7.4100000000000001E-4</v>
      </c>
    </row>
    <row r="35" spans="1:18" x14ac:dyDescent="0.25">
      <c r="A35">
        <f t="shared" si="2"/>
        <v>116</v>
      </c>
      <c r="B35">
        <v>31</v>
      </c>
      <c r="C35" s="12">
        <f t="shared" si="3"/>
        <v>0.4</v>
      </c>
      <c r="D35" s="10">
        <f t="shared" si="4"/>
        <v>0.6</v>
      </c>
      <c r="E35" s="198">
        <f>IF(B35&lt;=$C$2,1,IF(B35=$C$2+1,PRODUCT($D$5:D35),E34*D35))</f>
        <v>3.4335783001791723E-5</v>
      </c>
      <c r="F35" s="10">
        <f t="shared" si="0"/>
        <v>0.29646025766675027</v>
      </c>
      <c r="G35" s="10">
        <f t="shared" si="5"/>
        <v>1.0179195075900798E-5</v>
      </c>
      <c r="I35" s="13">
        <f t="shared" si="1"/>
        <v>0.17167891500895863</v>
      </c>
      <c r="J35" s="11">
        <f>(SUM(G36:$G$79)*$I$1)</f>
        <v>5.6076499955854273E-2</v>
      </c>
      <c r="K35" s="11">
        <f t="shared" si="6"/>
        <v>-5.0895975379504008E-2</v>
      </c>
      <c r="Q35" s="65">
        <v>31</v>
      </c>
      <c r="R35" s="66">
        <f>Inputs!H38</f>
        <v>7.5100000000000004E-4</v>
      </c>
    </row>
    <row r="36" spans="1:18" x14ac:dyDescent="0.25">
      <c r="A36">
        <f t="shared" si="2"/>
        <v>117</v>
      </c>
      <c r="B36">
        <v>32</v>
      </c>
      <c r="C36" s="12">
        <f t="shared" si="3"/>
        <v>0.4</v>
      </c>
      <c r="D36" s="10">
        <f t="shared" si="4"/>
        <v>0.6</v>
      </c>
      <c r="E36" s="198">
        <f>IF(B36&lt;=$C$2,1,IF(B36=$C$2+1,PRODUCT($D$5:D36),E35*D36))</f>
        <v>2.0601469801075034E-5</v>
      </c>
      <c r="F36" s="10">
        <f t="shared" si="0"/>
        <v>0.28505794006418295</v>
      </c>
      <c r="G36" s="10">
        <f t="shared" si="5"/>
        <v>5.872612543788922E-6</v>
      </c>
      <c r="I36" s="13">
        <f t="shared" si="1"/>
        <v>0.10300734900537517</v>
      </c>
      <c r="J36" s="11">
        <f>(SUM(G37:$G$79)*$I$1)</f>
        <v>2.6713437236909669E-2</v>
      </c>
      <c r="K36" s="11">
        <f t="shared" si="6"/>
        <v>-2.9363062718944604E-2</v>
      </c>
      <c r="Q36" s="65">
        <v>32</v>
      </c>
      <c r="R36" s="66">
        <f>Inputs!H39</f>
        <v>7.54E-4</v>
      </c>
    </row>
    <row r="37" spans="1:18" x14ac:dyDescent="0.25">
      <c r="A37">
        <f t="shared" si="2"/>
        <v>118</v>
      </c>
      <c r="B37">
        <v>33</v>
      </c>
      <c r="C37" s="12">
        <f t="shared" si="3"/>
        <v>0.4</v>
      </c>
      <c r="D37" s="10">
        <f t="shared" si="4"/>
        <v>0.6</v>
      </c>
      <c r="E37" s="198">
        <f>IF(B37&lt;=$C$2,1,IF(B37=$C$2+1,PRODUCT($D$5:D37),E36*D37))</f>
        <v>1.2360881880645021E-5</v>
      </c>
      <c r="F37" s="10">
        <f t="shared" si="0"/>
        <v>0.27409417313863743</v>
      </c>
      <c r="G37" s="10">
        <f t="shared" si="5"/>
        <v>3.3880456983397627E-6</v>
      </c>
      <c r="I37" s="13">
        <f t="shared" si="1"/>
        <v>6.1804409403225104E-2</v>
      </c>
      <c r="J37" s="11">
        <f>(SUM(G38:$G$79)*$I$1)</f>
        <v>9.7732087452108516E-3</v>
      </c>
      <c r="K37" s="11">
        <f t="shared" si="6"/>
        <v>-1.6940228491698815E-2</v>
      </c>
      <c r="Q37" s="65">
        <v>33</v>
      </c>
      <c r="R37" s="66">
        <f>Inputs!H40</f>
        <v>7.5600000000000005E-4</v>
      </c>
    </row>
    <row r="38" spans="1:18" x14ac:dyDescent="0.25">
      <c r="A38">
        <f t="shared" si="2"/>
        <v>119</v>
      </c>
      <c r="B38">
        <v>34</v>
      </c>
      <c r="C38" s="12">
        <f t="shared" si="3"/>
        <v>0.4</v>
      </c>
      <c r="D38" s="10">
        <f t="shared" si="4"/>
        <v>0.6</v>
      </c>
      <c r="E38" s="198">
        <f>IF(B38&lt;=$C$2,1,IF(B38=$C$2+1,PRODUCT($D$5:D38),E37*D38))</f>
        <v>7.4165291283870117E-6</v>
      </c>
      <c r="F38" s="10">
        <f t="shared" si="0"/>
        <v>0.26355208955638215</v>
      </c>
      <c r="G38" s="10">
        <f t="shared" si="5"/>
        <v>1.9546417490421704E-6</v>
      </c>
      <c r="I38" s="13">
        <f t="shared" si="1"/>
        <v>3.7082645641935058E-2</v>
      </c>
      <c r="J38" s="11">
        <f>(SUM(G39:$G$79)*$I$1)</f>
        <v>0</v>
      </c>
      <c r="K38" s="11">
        <f t="shared" si="6"/>
        <v>-9.7732087452108516E-3</v>
      </c>
      <c r="Q38" s="65">
        <v>34</v>
      </c>
      <c r="R38" s="66">
        <f>Inputs!H41</f>
        <v>7.5600000000000005E-4</v>
      </c>
    </row>
    <row r="39" spans="1:18" x14ac:dyDescent="0.25">
      <c r="A39">
        <f t="shared" si="2"/>
        <v>120</v>
      </c>
      <c r="B39">
        <v>35</v>
      </c>
      <c r="C39" s="12">
        <f t="shared" si="3"/>
        <v>1</v>
      </c>
      <c r="D39" s="10">
        <f t="shared" si="4"/>
        <v>0</v>
      </c>
      <c r="E39" s="198">
        <f>IF(B39&lt;=$C$2,1,IF(B39=$C$2+1,PRODUCT($D$5:D39),E38*D39))</f>
        <v>0</v>
      </c>
      <c r="F39" s="10">
        <f t="shared" si="0"/>
        <v>0</v>
      </c>
      <c r="G39" s="10">
        <f t="shared" si="5"/>
        <v>0</v>
      </c>
      <c r="I39" s="13">
        <f t="shared" si="1"/>
        <v>0</v>
      </c>
      <c r="J39" s="11">
        <f>(SUM(G40:$G$79)*$I$1)</f>
        <v>0</v>
      </c>
      <c r="K39" s="11">
        <f t="shared" si="6"/>
        <v>0</v>
      </c>
      <c r="Q39" s="65">
        <v>35</v>
      </c>
      <c r="R39" s="66">
        <f>Inputs!H42</f>
        <v>7.5600000000000005E-4</v>
      </c>
    </row>
    <row r="40" spans="1:18" x14ac:dyDescent="0.25">
      <c r="C40" s="12"/>
      <c r="D40" s="10"/>
      <c r="E40" s="198"/>
      <c r="F40" s="10"/>
      <c r="G40" s="10"/>
      <c r="I40" s="13"/>
      <c r="J40" s="11"/>
      <c r="K40" s="11"/>
      <c r="Q40" s="65">
        <v>36</v>
      </c>
      <c r="R40" s="66">
        <f>Inputs!H43</f>
        <v>7.5600000000000005E-4</v>
      </c>
    </row>
    <row r="41" spans="1:18" x14ac:dyDescent="0.25">
      <c r="C41" s="12"/>
      <c r="D41" s="10"/>
      <c r="E41" s="198"/>
      <c r="F41" s="10"/>
      <c r="G41" s="10"/>
      <c r="I41" s="13"/>
      <c r="J41" s="11"/>
      <c r="K41" s="11"/>
      <c r="Q41" s="65">
        <v>37</v>
      </c>
      <c r="R41" s="66">
        <f>Inputs!H44</f>
        <v>7.5600000000000005E-4</v>
      </c>
    </row>
    <row r="42" spans="1:18" x14ac:dyDescent="0.25">
      <c r="C42" s="12"/>
      <c r="D42" s="10"/>
      <c r="E42" s="198"/>
      <c r="F42" s="10"/>
      <c r="G42" s="10"/>
      <c r="I42" s="13"/>
      <c r="J42" s="11"/>
      <c r="K42" s="11"/>
      <c r="Q42" s="65">
        <v>38</v>
      </c>
      <c r="R42" s="66">
        <f>Inputs!H45</f>
        <v>7.5600000000000005E-4</v>
      </c>
    </row>
    <row r="43" spans="1:18" x14ac:dyDescent="0.25">
      <c r="C43" s="12"/>
      <c r="D43" s="10"/>
      <c r="E43" s="198"/>
      <c r="F43" s="10"/>
      <c r="G43" s="10"/>
      <c r="I43" s="13"/>
      <c r="J43" s="11"/>
      <c r="K43" s="11"/>
      <c r="Q43" s="65">
        <v>39</v>
      </c>
      <c r="R43" s="66">
        <f>Inputs!H46</f>
        <v>8.0000000000000004E-4</v>
      </c>
    </row>
    <row r="44" spans="1:18" x14ac:dyDescent="0.25">
      <c r="C44" s="12"/>
      <c r="D44" s="10"/>
      <c r="E44" s="198"/>
      <c r="F44" s="10"/>
      <c r="G44" s="10"/>
      <c r="I44" s="13"/>
      <c r="J44" s="11"/>
      <c r="K44" s="11"/>
      <c r="Q44" s="65">
        <v>40</v>
      </c>
      <c r="R44" s="66">
        <f>Inputs!H47</f>
        <v>8.5899999999999995E-4</v>
      </c>
    </row>
    <row r="45" spans="1:18" x14ac:dyDescent="0.25">
      <c r="C45" s="12"/>
      <c r="D45" s="10"/>
      <c r="E45" s="198"/>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45">
    <cfRule type="cellIs" dxfId="15"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97"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149</v>
      </c>
      <c r="I1" s="3">
        <v>5000</v>
      </c>
      <c r="J1" s="181" t="s">
        <v>173</v>
      </c>
      <c r="L1" s="1"/>
      <c r="M1" s="4"/>
      <c r="N1" s="4"/>
      <c r="O1" s="4"/>
      <c r="P1" s="4"/>
      <c r="Q1" s="64"/>
      <c r="R1" s="28"/>
    </row>
    <row r="2" spans="1:18" ht="15.75" customHeight="1" thickBot="1" x14ac:dyDescent="0.3">
      <c r="B2" t="s">
        <v>227</v>
      </c>
      <c r="C2">
        <v>5</v>
      </c>
      <c r="F2" s="5">
        <f>'Asset and Liability Durations'!N27</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4.8143188160804113</v>
      </c>
      <c r="N3" s="10"/>
      <c r="O3" s="10"/>
      <c r="P3" s="10"/>
      <c r="Q3" s="31"/>
      <c r="R3" s="32"/>
    </row>
    <row r="4" spans="1:18" x14ac:dyDescent="0.25">
      <c r="A4">
        <v>85</v>
      </c>
      <c r="B4">
        <v>0</v>
      </c>
      <c r="C4" s="8"/>
      <c r="D4" s="7"/>
      <c r="E4" s="7"/>
      <c r="F4" s="7"/>
      <c r="G4" s="10">
        <v>1</v>
      </c>
      <c r="J4" s="11">
        <f>(SUM(G5:$G$79)*$I$1)</f>
        <v>32380.58852235731</v>
      </c>
      <c r="Q4" s="65">
        <v>0</v>
      </c>
      <c r="R4" s="66">
        <f>Inputs!H7</f>
        <v>1.6050000000000001E-3</v>
      </c>
    </row>
    <row r="5" spans="1:18" ht="15.75" thickBot="1" x14ac:dyDescent="0.3">
      <c r="A5">
        <f>B5+$A$4</f>
        <v>86</v>
      </c>
      <c r="B5">
        <v>1</v>
      </c>
      <c r="C5" s="12">
        <f>VLOOKUP(A5,$Q$4:$R$124,2,FALSE)</f>
        <v>6.7514000000000005E-2</v>
      </c>
      <c r="D5" s="10">
        <f>1-C5</f>
        <v>0.93248600000000004</v>
      </c>
      <c r="E5" s="198">
        <f>IF(B5&lt;=$C$2,1,IF(B5=$C$2+1,PRODUCT($D$5:D5),E4*D5))</f>
        <v>1</v>
      </c>
      <c r="F5" s="10">
        <f t="shared" ref="F5:F39" si="0">IF(D5=0,0,(1+$F$2)^-B5)</f>
        <v>0.96153846153846145</v>
      </c>
      <c r="G5" s="10">
        <f>F5*E5</f>
        <v>0.96153846153846145</v>
      </c>
      <c r="I5" s="13">
        <f t="shared" ref="I5:I39" si="1">E5*$I$1</f>
        <v>5000</v>
      </c>
      <c r="J5" s="11">
        <f>(SUM(G6:$G$79)*$I$1)</f>
        <v>27572.896214665005</v>
      </c>
      <c r="K5" s="11">
        <f>J5-J4</f>
        <v>-4807.6923076923049</v>
      </c>
      <c r="L5" s="14" t="s">
        <v>16</v>
      </c>
      <c r="M5" s="14" t="s">
        <v>17</v>
      </c>
      <c r="N5" s="14" t="s">
        <v>18</v>
      </c>
      <c r="O5" s="14" t="s">
        <v>47</v>
      </c>
      <c r="Q5" s="65">
        <v>1</v>
      </c>
      <c r="R5" s="66">
        <f>Inputs!H8</f>
        <v>4.0099999999999999E-4</v>
      </c>
    </row>
    <row r="6" spans="1:18" x14ac:dyDescent="0.25">
      <c r="A6">
        <f t="shared" ref="A6:A39" si="2">B6+$A$4</f>
        <v>87</v>
      </c>
      <c r="B6">
        <v>2</v>
      </c>
      <c r="C6" s="12">
        <f t="shared" ref="C6:C39" si="3">VLOOKUP(A6,$Q$4:$R$124,2,FALSE)</f>
        <v>7.6340000000000005E-2</v>
      </c>
      <c r="D6" s="10">
        <f t="shared" ref="D6:D39" si="4">1-C6</f>
        <v>0.92366000000000004</v>
      </c>
      <c r="E6" s="198">
        <f>IF(B6&lt;=$C$2,1,IF(B6=$C$2+1,PRODUCT($D$5:D6),E5*D6))</f>
        <v>1</v>
      </c>
      <c r="F6" s="10">
        <f t="shared" si="0"/>
        <v>0.92455621301775137</v>
      </c>
      <c r="G6" s="10">
        <f t="shared" ref="G6:G39" si="5">F6*E6</f>
        <v>0.92455621301775137</v>
      </c>
      <c r="I6" s="13">
        <f t="shared" si="1"/>
        <v>5000</v>
      </c>
      <c r="J6" s="11">
        <f>(SUM(G7:$G$79)*$I$1)</f>
        <v>22950.115149576242</v>
      </c>
      <c r="K6" s="11">
        <f t="shared" ref="K6:K39" si="6">J6-J5</f>
        <v>-4622.7810650887623</v>
      </c>
      <c r="L6" s="14">
        <v>2</v>
      </c>
      <c r="M6" s="54" t="s">
        <v>44</v>
      </c>
      <c r="N6" s="15">
        <f>SUM(I5:I7)</f>
        <v>15000</v>
      </c>
      <c r="O6" s="16">
        <f>N6/SUM($N$6:$N$9)</f>
        <v>0.37981164085188585</v>
      </c>
      <c r="Q6" s="65">
        <v>2</v>
      </c>
      <c r="R6" s="66">
        <f>Inputs!H9</f>
        <v>2.7500000000000002E-4</v>
      </c>
    </row>
    <row r="7" spans="1:18" x14ac:dyDescent="0.25">
      <c r="A7">
        <f t="shared" si="2"/>
        <v>88</v>
      </c>
      <c r="B7">
        <v>3</v>
      </c>
      <c r="C7" s="12">
        <f t="shared" si="3"/>
        <v>8.6388000000000006E-2</v>
      </c>
      <c r="D7" s="10">
        <f t="shared" si="4"/>
        <v>0.91361199999999998</v>
      </c>
      <c r="E7" s="198">
        <f>IF(B7&lt;=$C$2,1,IF(B7=$C$2+1,PRODUCT($D$5:D7),E6*D7))</f>
        <v>1</v>
      </c>
      <c r="F7" s="10">
        <f t="shared" si="0"/>
        <v>0.88899635867091487</v>
      </c>
      <c r="G7" s="10">
        <f t="shared" si="5"/>
        <v>0.88899635867091487</v>
      </c>
      <c r="I7" s="13">
        <f t="shared" si="1"/>
        <v>5000</v>
      </c>
      <c r="J7" s="11">
        <f>(SUM(G8:$G$79)*$I$1)</f>
        <v>18505.133356221657</v>
      </c>
      <c r="K7" s="11">
        <f t="shared" si="6"/>
        <v>-4444.9817933545855</v>
      </c>
      <c r="L7" s="14">
        <v>5</v>
      </c>
      <c r="M7" s="19" t="s">
        <v>45</v>
      </c>
      <c r="N7" s="17">
        <f>SUM(I8:I11)</f>
        <v>15161.509745792526</v>
      </c>
      <c r="O7" s="18">
        <f>N7/SUM($N$6:$N$9)</f>
        <v>0.38390119295608782</v>
      </c>
      <c r="Q7" s="65">
        <v>3</v>
      </c>
      <c r="R7" s="66">
        <f>Inputs!H10</f>
        <v>2.2900000000000001E-4</v>
      </c>
    </row>
    <row r="8" spans="1:18" x14ac:dyDescent="0.25">
      <c r="A8">
        <f t="shared" si="2"/>
        <v>89</v>
      </c>
      <c r="B8">
        <v>4</v>
      </c>
      <c r="C8" s="12">
        <f t="shared" si="3"/>
        <v>9.7633999999999999E-2</v>
      </c>
      <c r="D8" s="10">
        <f t="shared" si="4"/>
        <v>0.902366</v>
      </c>
      <c r="E8" s="198">
        <f>IF(B8&lt;=$C$2,1,IF(B8=$C$2+1,PRODUCT($D$5:D8),E7*D8))</f>
        <v>1</v>
      </c>
      <c r="F8" s="10">
        <f t="shared" si="0"/>
        <v>0.85480419102972571</v>
      </c>
      <c r="G8" s="10">
        <f>F8*E8</f>
        <v>0.85480419102972571</v>
      </c>
      <c r="I8" s="13">
        <f t="shared" si="1"/>
        <v>5000</v>
      </c>
      <c r="J8" s="11">
        <f>(SUM(G9:$G$79)*$I$1)</f>
        <v>14231.112401073031</v>
      </c>
      <c r="K8" s="11">
        <f t="shared" si="6"/>
        <v>-4274.0209551486259</v>
      </c>
      <c r="L8" s="14">
        <v>10</v>
      </c>
      <c r="M8" s="19" t="s">
        <v>46</v>
      </c>
      <c r="N8" s="17">
        <f>SUM(I12:I19)</f>
        <v>8581.9656729199451</v>
      </c>
      <c r="O8" s="18">
        <f>N8/SUM($N$6:$N$9)</f>
        <v>0.21730203093108552</v>
      </c>
      <c r="Q8" s="65">
        <v>4</v>
      </c>
      <c r="R8" s="66">
        <f>Inputs!H11</f>
        <v>1.74E-4</v>
      </c>
    </row>
    <row r="9" spans="1:18" ht="15.75" thickBot="1" x14ac:dyDescent="0.3">
      <c r="A9">
        <f t="shared" si="2"/>
        <v>90</v>
      </c>
      <c r="B9">
        <v>5</v>
      </c>
      <c r="C9" s="12">
        <f t="shared" si="3"/>
        <v>0.10999299999999999</v>
      </c>
      <c r="D9" s="10">
        <f t="shared" si="4"/>
        <v>0.89000699999999999</v>
      </c>
      <c r="E9" s="198">
        <f>IF(B9&lt;=$C$2,1,IF(B9=$C$2+1,PRODUCT($D$5:D9),E8*D9))</f>
        <v>1</v>
      </c>
      <c r="F9" s="10">
        <f t="shared" si="0"/>
        <v>0.82192710675935154</v>
      </c>
      <c r="G9" s="10">
        <f t="shared" si="5"/>
        <v>0.82192710675935154</v>
      </c>
      <c r="I9" s="13">
        <f t="shared" si="1"/>
        <v>5000</v>
      </c>
      <c r="J9" s="11">
        <f>(SUM(G10:$G$79)*$I$1)</f>
        <v>10121.476867276278</v>
      </c>
      <c r="K9" s="11">
        <f t="shared" si="6"/>
        <v>-4109.6355337967525</v>
      </c>
      <c r="L9" s="14">
        <v>30</v>
      </c>
      <c r="M9" s="20" t="s">
        <v>48</v>
      </c>
      <c r="N9" s="21">
        <f>SUM(I20:I70)</f>
        <v>749.78488883431783</v>
      </c>
      <c r="O9" s="22">
        <f>N9/SUM($N$6:$N$9)</f>
        <v>1.8985135260940738E-2</v>
      </c>
      <c r="Q9" s="65">
        <v>5</v>
      </c>
      <c r="R9" s="66">
        <f>Inputs!H12</f>
        <v>1.6799999999999999E-4</v>
      </c>
    </row>
    <row r="10" spans="1:18" x14ac:dyDescent="0.25">
      <c r="A10">
        <f t="shared" si="2"/>
        <v>91</v>
      </c>
      <c r="B10">
        <v>6</v>
      </c>
      <c r="C10" s="12">
        <f t="shared" si="3"/>
        <v>0.12311900000000001</v>
      </c>
      <c r="D10" s="10">
        <f t="shared" si="4"/>
        <v>0.87688100000000002</v>
      </c>
      <c r="E10" s="198">
        <f>IF(B10&lt;=$C$2,1,IF(B10=$C$2+1,PRODUCT($D$5:D10),E9*D10))</f>
        <v>0.55415729875721764</v>
      </c>
      <c r="F10" s="10">
        <f t="shared" si="0"/>
        <v>0.79031452573014571</v>
      </c>
      <c r="G10" s="10">
        <f t="shared" si="5"/>
        <v>0.43795856274720912</v>
      </c>
      <c r="I10" s="13">
        <f t="shared" si="1"/>
        <v>2770.7864937860882</v>
      </c>
      <c r="J10" s="11">
        <f>(SUM(G11:$G$79)*$I$1)</f>
        <v>7931.6840535402398</v>
      </c>
      <c r="K10" s="11">
        <f t="shared" si="6"/>
        <v>-2189.7928137360386</v>
      </c>
      <c r="L10" s="53">
        <f>+SUMPRODUCT(L6:L9,O6:O9)</f>
        <v>5.4217036136232881</v>
      </c>
      <c r="O10" s="23">
        <f>SUM(O6:O9)</f>
        <v>1</v>
      </c>
      <c r="Q10" s="65">
        <v>6</v>
      </c>
      <c r="R10" s="66">
        <f>Inputs!H13</f>
        <v>1.65E-4</v>
      </c>
    </row>
    <row r="11" spans="1:18" x14ac:dyDescent="0.25">
      <c r="A11">
        <f t="shared" si="2"/>
        <v>92</v>
      </c>
      <c r="B11">
        <v>7</v>
      </c>
      <c r="C11" s="12">
        <f t="shared" si="3"/>
        <v>0.13716800000000001</v>
      </c>
      <c r="D11" s="10">
        <f t="shared" si="4"/>
        <v>0.86283200000000004</v>
      </c>
      <c r="E11" s="198">
        <f>IF(B11&lt;=$C$2,1,IF(B11=$C$2+1,PRODUCT($D$5:D11),E10*D11))</f>
        <v>0.47814465040128762</v>
      </c>
      <c r="F11" s="10">
        <f t="shared" si="0"/>
        <v>0.75991781320206331</v>
      </c>
      <c r="G11" s="10">
        <f t="shared" si="5"/>
        <v>0.36335063712721155</v>
      </c>
      <c r="I11" s="13">
        <f t="shared" si="1"/>
        <v>2390.7232520064381</v>
      </c>
      <c r="J11" s="11">
        <f>(SUM(G12:$G$79)*$I$1)</f>
        <v>6114.9308679041824</v>
      </c>
      <c r="K11" s="11">
        <f t="shared" si="6"/>
        <v>-1816.7531856360574</v>
      </c>
      <c r="Q11" s="65">
        <v>7</v>
      </c>
      <c r="R11" s="66">
        <f>Inputs!H14</f>
        <v>1.5899999999999999E-4</v>
      </c>
    </row>
    <row r="12" spans="1:18" x14ac:dyDescent="0.25">
      <c r="A12">
        <f t="shared" si="2"/>
        <v>93</v>
      </c>
      <c r="B12">
        <v>8</v>
      </c>
      <c r="C12" s="12">
        <f t="shared" si="3"/>
        <v>0.152171</v>
      </c>
      <c r="D12" s="10">
        <f t="shared" si="4"/>
        <v>0.84782899999999994</v>
      </c>
      <c r="E12" s="198">
        <f>IF(B12&lt;=$C$2,1,IF(B12=$C$2+1,PRODUCT($D$5:D12),E11*D12))</f>
        <v>0.40538490080507328</v>
      </c>
      <c r="F12" s="10">
        <f t="shared" si="0"/>
        <v>0.73069020500198378</v>
      </c>
      <c r="G12" s="10">
        <f t="shared" si="5"/>
        <v>0.29621077627396786</v>
      </c>
      <c r="I12" s="13">
        <f t="shared" si="1"/>
        <v>2026.9245040253663</v>
      </c>
      <c r="J12" s="11">
        <f>(SUM(G13:$G$79)*$I$1)</f>
        <v>4633.8769865343393</v>
      </c>
      <c r="K12" s="11">
        <f t="shared" si="6"/>
        <v>-1481.0538813698431</v>
      </c>
      <c r="Q12" s="65">
        <v>8</v>
      </c>
      <c r="R12" s="66">
        <f>Inputs!H15</f>
        <v>1.4300000000000001E-4</v>
      </c>
    </row>
    <row r="13" spans="1:18" x14ac:dyDescent="0.25">
      <c r="A13">
        <f t="shared" si="2"/>
        <v>94</v>
      </c>
      <c r="B13">
        <v>9</v>
      </c>
      <c r="C13" s="12">
        <f t="shared" si="3"/>
        <v>0.16819400000000001</v>
      </c>
      <c r="D13" s="10">
        <f t="shared" si="4"/>
        <v>0.83180600000000005</v>
      </c>
      <c r="E13" s="198">
        <f>IF(B13&lt;=$C$2,1,IF(B13=$C$2+1,PRODUCT($D$5:D13),E12*D13))</f>
        <v>0.33720159279906481</v>
      </c>
      <c r="F13" s="10">
        <f t="shared" si="0"/>
        <v>0.70258673557883045</v>
      </c>
      <c r="G13" s="10">
        <f t="shared" si="5"/>
        <v>0.236913366316677</v>
      </c>
      <c r="I13" s="13">
        <f t="shared" si="1"/>
        <v>1686.007963995324</v>
      </c>
      <c r="J13" s="11">
        <f>(SUM(G14:$G$79)*$I$1)</f>
        <v>3449.3101549509543</v>
      </c>
      <c r="K13" s="11">
        <f t="shared" si="6"/>
        <v>-1184.566831583385</v>
      </c>
      <c r="Q13" s="65">
        <v>9</v>
      </c>
      <c r="R13" s="66">
        <f>Inputs!H16</f>
        <v>1.2899999999999999E-4</v>
      </c>
    </row>
    <row r="14" spans="1:18" x14ac:dyDescent="0.25">
      <c r="A14">
        <f t="shared" si="2"/>
        <v>95</v>
      </c>
      <c r="B14">
        <v>10</v>
      </c>
      <c r="C14" s="12">
        <f t="shared" si="3"/>
        <v>0.18526000000000001</v>
      </c>
      <c r="D14" s="10">
        <f t="shared" si="4"/>
        <v>0.81474000000000002</v>
      </c>
      <c r="E14" s="198">
        <f>IF(B14&lt;=$C$2,1,IF(B14=$C$2+1,PRODUCT($D$5:D14),E13*D14))</f>
        <v>0.27473162571711007</v>
      </c>
      <c r="F14" s="10">
        <f t="shared" si="0"/>
        <v>0.67556416882579851</v>
      </c>
      <c r="G14" s="10">
        <f t="shared" si="5"/>
        <v>0.18559884237773983</v>
      </c>
      <c r="I14" s="13">
        <f t="shared" si="1"/>
        <v>1373.6581285855505</v>
      </c>
      <c r="J14" s="11">
        <f>(SUM(G15:$G$79)*$I$1)</f>
        <v>2521.315943062255</v>
      </c>
      <c r="K14" s="11">
        <f t="shared" si="6"/>
        <v>-927.99421188869928</v>
      </c>
      <c r="Q14" s="65">
        <v>10</v>
      </c>
      <c r="R14" s="66">
        <f>Inputs!H17</f>
        <v>1.13E-4</v>
      </c>
    </row>
    <row r="15" spans="1:18" x14ac:dyDescent="0.25">
      <c r="A15">
        <f t="shared" si="2"/>
        <v>96</v>
      </c>
      <c r="B15">
        <v>11</v>
      </c>
      <c r="C15" s="12">
        <f t="shared" si="3"/>
        <v>0.197322</v>
      </c>
      <c r="D15" s="10">
        <f t="shared" si="4"/>
        <v>0.802678</v>
      </c>
      <c r="E15" s="198">
        <f>IF(B15&lt;=$C$2,1,IF(B15=$C$2+1,PRODUCT($D$5:D15),E14*D15))</f>
        <v>0.22052103186735847</v>
      </c>
      <c r="F15" s="10">
        <f t="shared" si="0"/>
        <v>0.6495809315632679</v>
      </c>
      <c r="G15" s="10">
        <f t="shared" si="5"/>
        <v>0.14324625730969182</v>
      </c>
      <c r="I15" s="13">
        <f t="shared" si="1"/>
        <v>1102.6051593367924</v>
      </c>
      <c r="J15" s="11">
        <f>(SUM(G16:$G$79)*$I$1)</f>
        <v>1805.0846565137965</v>
      </c>
      <c r="K15" s="11">
        <f t="shared" si="6"/>
        <v>-716.23128654845846</v>
      </c>
      <c r="Q15" s="65">
        <v>11</v>
      </c>
      <c r="R15" s="66">
        <f>Inputs!H18</f>
        <v>1.11E-4</v>
      </c>
    </row>
    <row r="16" spans="1:18" x14ac:dyDescent="0.25">
      <c r="A16">
        <f t="shared" si="2"/>
        <v>97</v>
      </c>
      <c r="B16">
        <v>12</v>
      </c>
      <c r="C16" s="12">
        <f t="shared" si="3"/>
        <v>0.214751</v>
      </c>
      <c r="D16" s="10">
        <f t="shared" si="4"/>
        <v>0.78524899999999997</v>
      </c>
      <c r="E16" s="198">
        <f>IF(B16&lt;=$C$2,1,IF(B16=$C$2+1,PRODUCT($D$5:D16),E15*D16))</f>
        <v>0.17316391975281137</v>
      </c>
      <c r="F16" s="10">
        <f t="shared" si="0"/>
        <v>0.62459704958006512</v>
      </c>
      <c r="G16" s="10">
        <f t="shared" si="5"/>
        <v>0.10815767337132515</v>
      </c>
      <c r="I16" s="13">
        <f t="shared" si="1"/>
        <v>865.81959876405688</v>
      </c>
      <c r="J16" s="11">
        <f>(SUM(G17:$G$79)*$I$1)</f>
        <v>1264.296289657171</v>
      </c>
      <c r="K16" s="11">
        <f t="shared" si="6"/>
        <v>-540.78836685662554</v>
      </c>
      <c r="Q16" s="65">
        <v>12</v>
      </c>
      <c r="R16" s="66">
        <f>Inputs!H19</f>
        <v>1.3200000000000001E-4</v>
      </c>
    </row>
    <row r="17" spans="1:18" x14ac:dyDescent="0.25">
      <c r="A17">
        <f t="shared" si="2"/>
        <v>98</v>
      </c>
      <c r="B17">
        <v>13</v>
      </c>
      <c r="C17" s="12">
        <f t="shared" si="3"/>
        <v>0.23250699999999999</v>
      </c>
      <c r="D17" s="10">
        <f t="shared" si="4"/>
        <v>0.76749299999999998</v>
      </c>
      <c r="E17" s="198">
        <f>IF(B17&lt;=$C$2,1,IF(B17=$C$2+1,PRODUCT($D$5:D17),E16*D17))</f>
        <v>0.13290209626284447</v>
      </c>
      <c r="F17" s="10">
        <f t="shared" si="0"/>
        <v>0.600574086134678</v>
      </c>
      <c r="G17" s="10">
        <f t="shared" si="5"/>
        <v>7.9817555008440816E-2</v>
      </c>
      <c r="I17" s="13">
        <f t="shared" si="1"/>
        <v>664.51048131422237</v>
      </c>
      <c r="J17" s="11">
        <f>(SUM(G18:$G$79)*$I$1)</f>
        <v>865.20851461496648</v>
      </c>
      <c r="K17" s="11">
        <f t="shared" si="6"/>
        <v>-399.0877750422045</v>
      </c>
      <c r="Q17" s="65">
        <v>13</v>
      </c>
      <c r="R17" s="66">
        <f>Inputs!H20</f>
        <v>1.6899999999999999E-4</v>
      </c>
    </row>
    <row r="18" spans="1:18" x14ac:dyDescent="0.25">
      <c r="A18">
        <f t="shared" si="2"/>
        <v>99</v>
      </c>
      <c r="B18">
        <v>14</v>
      </c>
      <c r="C18" s="12">
        <f t="shared" si="3"/>
        <v>0.25039699999999998</v>
      </c>
      <c r="D18" s="10">
        <f t="shared" si="4"/>
        <v>0.74960300000000002</v>
      </c>
      <c r="E18" s="198">
        <f>IF(B18&lt;=$C$2,1,IF(B18=$C$2+1,PRODUCT($D$5:D18),E17*D18))</f>
        <v>9.9623810064917009E-2</v>
      </c>
      <c r="F18" s="10">
        <f t="shared" si="0"/>
        <v>0.57747508282180582</v>
      </c>
      <c r="G18" s="10">
        <f t="shared" si="5"/>
        <v>5.75302679682618E-2</v>
      </c>
      <c r="I18" s="13">
        <f t="shared" si="1"/>
        <v>498.11905032458503</v>
      </c>
      <c r="J18" s="11">
        <f>(SUM(G19:$G$79)*$I$1)</f>
        <v>577.55717477365738</v>
      </c>
      <c r="K18" s="11">
        <f t="shared" si="6"/>
        <v>-287.6513398413091</v>
      </c>
      <c r="Q18" s="65">
        <v>14</v>
      </c>
      <c r="R18" s="66">
        <f>Inputs!H21</f>
        <v>2.13E-4</v>
      </c>
    </row>
    <row r="19" spans="1:18" x14ac:dyDescent="0.25">
      <c r="A19">
        <f t="shared" si="2"/>
        <v>100</v>
      </c>
      <c r="B19">
        <v>15</v>
      </c>
      <c r="C19" s="12">
        <f t="shared" si="3"/>
        <v>0.26860699999999998</v>
      </c>
      <c r="D19" s="10">
        <f t="shared" si="4"/>
        <v>0.73139299999999996</v>
      </c>
      <c r="E19" s="198">
        <f>IF(B19&lt;=$C$2,1,IF(B19=$C$2+1,PRODUCT($D$5:D19),E18*D19))</f>
        <v>7.2864157314809844E-2</v>
      </c>
      <c r="F19" s="10">
        <f t="shared" si="0"/>
        <v>0.55526450271327477</v>
      </c>
      <c r="G19" s="10">
        <f t="shared" si="5"/>
        <v>4.0458880077029712E-2</v>
      </c>
      <c r="I19" s="13">
        <f t="shared" si="1"/>
        <v>364.32078657404924</v>
      </c>
      <c r="J19" s="11">
        <f>(SUM(G20:$G$79)*$I$1)</f>
        <v>375.26277438850883</v>
      </c>
      <c r="K19" s="11">
        <f t="shared" si="6"/>
        <v>-202.29440038514855</v>
      </c>
      <c r="Q19" s="65">
        <v>15</v>
      </c>
      <c r="R19" s="66">
        <f>Inputs!H22</f>
        <v>2.5399999999999999E-4</v>
      </c>
    </row>
    <row r="20" spans="1:18" x14ac:dyDescent="0.25">
      <c r="A20">
        <f t="shared" si="2"/>
        <v>101</v>
      </c>
      <c r="B20">
        <v>16</v>
      </c>
      <c r="C20" s="12">
        <f t="shared" si="3"/>
        <v>0.290016</v>
      </c>
      <c r="D20" s="10">
        <f t="shared" si="4"/>
        <v>0.70998399999999995</v>
      </c>
      <c r="E20" s="198">
        <f>IF(B20&lt;=$C$2,1,IF(B20=$C$2+1,PRODUCT($D$5:D20),E19*D20))</f>
        <v>5.1732385866997951E-2</v>
      </c>
      <c r="F20" s="10">
        <f t="shared" si="0"/>
        <v>0.53390817568584104</v>
      </c>
      <c r="G20" s="10">
        <f t="shared" si="5"/>
        <v>2.7620343762124862E-2</v>
      </c>
      <c r="I20" s="13">
        <f t="shared" si="1"/>
        <v>258.66192933498974</v>
      </c>
      <c r="J20" s="11">
        <f>(SUM(G21:$G$79)*$I$1)</f>
        <v>237.16105557788475</v>
      </c>
      <c r="K20" s="11">
        <f t="shared" si="6"/>
        <v>-138.10171881062408</v>
      </c>
      <c r="Q20" s="65">
        <v>16</v>
      </c>
      <c r="R20" s="66">
        <f>Inputs!H23</f>
        <v>2.9300000000000002E-4</v>
      </c>
    </row>
    <row r="21" spans="1:18" x14ac:dyDescent="0.25">
      <c r="A21">
        <f t="shared" si="2"/>
        <v>102</v>
      </c>
      <c r="B21">
        <v>17</v>
      </c>
      <c r="C21" s="12">
        <f t="shared" si="3"/>
        <v>0.31184899999999999</v>
      </c>
      <c r="D21" s="10">
        <f t="shared" si="4"/>
        <v>0.68815099999999996</v>
      </c>
      <c r="E21" s="198">
        <f>IF(B21&lt;=$C$2,1,IF(B21=$C$2+1,PRODUCT($D$5:D21),E20*D21))</f>
        <v>3.5599693066760502E-2</v>
      </c>
      <c r="F21" s="10">
        <f t="shared" si="0"/>
        <v>0.51337324585177024</v>
      </c>
      <c r="G21" s="10">
        <f t="shared" si="5"/>
        <v>1.82759299810096E-2</v>
      </c>
      <c r="I21" s="13">
        <f t="shared" si="1"/>
        <v>177.9984653338025</v>
      </c>
      <c r="J21" s="11">
        <f>(SUM(G22:$G$79)*$I$1)</f>
        <v>145.78140567283668</v>
      </c>
      <c r="K21" s="11">
        <f t="shared" si="6"/>
        <v>-91.379649905048069</v>
      </c>
      <c r="Q21" s="65">
        <v>17</v>
      </c>
      <c r="R21" s="66">
        <f>Inputs!H24</f>
        <v>3.28E-4</v>
      </c>
    </row>
    <row r="22" spans="1:18" x14ac:dyDescent="0.25">
      <c r="A22">
        <f t="shared" si="2"/>
        <v>103</v>
      </c>
      <c r="B22">
        <v>18</v>
      </c>
      <c r="C22" s="12">
        <f t="shared" si="3"/>
        <v>0.33396199999999998</v>
      </c>
      <c r="D22" s="10">
        <f t="shared" si="4"/>
        <v>0.66603800000000002</v>
      </c>
      <c r="E22" s="198">
        <f>IF(B22&lt;=$C$2,1,IF(B22=$C$2+1,PRODUCT($D$5:D22),E21*D22))</f>
        <v>2.3710748370799031E-2</v>
      </c>
      <c r="F22" s="10">
        <f t="shared" si="0"/>
        <v>0.49362812101131748</v>
      </c>
      <c r="G22" s="10">
        <f t="shared" si="5"/>
        <v>1.1704292166049683E-2</v>
      </c>
      <c r="I22" s="13">
        <f t="shared" si="1"/>
        <v>118.55374185399515</v>
      </c>
      <c r="J22" s="11">
        <f>(SUM(G23:$G$79)*$I$1)</f>
        <v>87.259944842588283</v>
      </c>
      <c r="K22" s="11">
        <f t="shared" si="6"/>
        <v>-58.521460830248401</v>
      </c>
      <c r="Q22" s="65">
        <v>18</v>
      </c>
      <c r="R22" s="66">
        <f>Inputs!H25</f>
        <v>3.59E-4</v>
      </c>
    </row>
    <row r="23" spans="1:18" x14ac:dyDescent="0.25">
      <c r="A23">
        <f t="shared" si="2"/>
        <v>104</v>
      </c>
      <c r="B23">
        <v>19</v>
      </c>
      <c r="C23" s="12">
        <f t="shared" si="3"/>
        <v>0.356207</v>
      </c>
      <c r="D23" s="10">
        <f t="shared" si="4"/>
        <v>0.64379300000000006</v>
      </c>
      <c r="E23" s="198">
        <f>IF(B23&lt;=$C$2,1,IF(B23=$C$2+1,PRODUCT($D$5:D23),E22*D23))</f>
        <v>1.5264813825881822E-2</v>
      </c>
      <c r="F23" s="10">
        <f t="shared" si="0"/>
        <v>0.47464242404934376</v>
      </c>
      <c r="G23" s="10">
        <f t="shared" si="5"/>
        <v>7.2453282369784851E-3</v>
      </c>
      <c r="I23" s="13">
        <f t="shared" si="1"/>
        <v>76.324069129409111</v>
      </c>
      <c r="J23" s="11">
        <f>(SUM(G24:$G$79)*$I$1)</f>
        <v>51.033303657695846</v>
      </c>
      <c r="K23" s="11">
        <f t="shared" si="6"/>
        <v>-36.226641184892436</v>
      </c>
      <c r="Q23" s="65">
        <v>19</v>
      </c>
      <c r="R23" s="66">
        <f>Inputs!H26</f>
        <v>3.8699999999999997E-4</v>
      </c>
    </row>
    <row r="24" spans="1:18" x14ac:dyDescent="0.25">
      <c r="A24">
        <f t="shared" si="2"/>
        <v>105</v>
      </c>
      <c r="B24">
        <v>20</v>
      </c>
      <c r="C24" s="12">
        <f t="shared" si="3"/>
        <v>0.38</v>
      </c>
      <c r="D24" s="10">
        <f t="shared" si="4"/>
        <v>0.62</v>
      </c>
      <c r="E24" s="198">
        <f>IF(B24&lt;=$C$2,1,IF(B24=$C$2+1,PRODUCT($D$5:D24),E23*D24))</f>
        <v>9.4641845720467299E-3</v>
      </c>
      <c r="F24" s="10">
        <f t="shared" si="0"/>
        <v>0.45638694620129205</v>
      </c>
      <c r="G24" s="10">
        <f t="shared" si="5"/>
        <v>4.3193302951217896E-3</v>
      </c>
      <c r="I24" s="13">
        <f t="shared" si="1"/>
        <v>47.320922860233651</v>
      </c>
      <c r="J24" s="11">
        <f>(SUM(G25:$G$79)*$I$1)</f>
        <v>29.436652182086902</v>
      </c>
      <c r="K24" s="11">
        <f t="shared" si="6"/>
        <v>-21.596651475608944</v>
      </c>
      <c r="Q24" s="65">
        <v>20</v>
      </c>
      <c r="R24" s="66">
        <f>Inputs!H27</f>
        <v>4.1399999999999998E-4</v>
      </c>
    </row>
    <row r="25" spans="1:18" x14ac:dyDescent="0.25">
      <c r="A25">
        <f t="shared" si="2"/>
        <v>106</v>
      </c>
      <c r="B25">
        <v>21</v>
      </c>
      <c r="C25" s="12">
        <f t="shared" si="3"/>
        <v>0.4</v>
      </c>
      <c r="D25" s="10">
        <f t="shared" si="4"/>
        <v>0.6</v>
      </c>
      <c r="E25" s="198">
        <f>IF(B25&lt;=$C$2,1,IF(B25=$C$2+1,PRODUCT($D$5:D25),E24*D25))</f>
        <v>5.6785107432280376E-3</v>
      </c>
      <c r="F25" s="10">
        <f t="shared" si="0"/>
        <v>0.43883360211662686</v>
      </c>
      <c r="G25" s="10">
        <f t="shared" si="5"/>
        <v>2.4919213241087236E-3</v>
      </c>
      <c r="I25" s="13">
        <f t="shared" si="1"/>
        <v>28.392553716140188</v>
      </c>
      <c r="J25" s="11">
        <f>(SUM(G26:$G$79)*$I$1)</f>
        <v>16.977045561543285</v>
      </c>
      <c r="K25" s="11">
        <f t="shared" si="6"/>
        <v>-12.459606620543617</v>
      </c>
      <c r="Q25" s="65">
        <v>21</v>
      </c>
      <c r="R25" s="66">
        <f>Inputs!H28</f>
        <v>4.4299999999999998E-4</v>
      </c>
    </row>
    <row r="26" spans="1:18" x14ac:dyDescent="0.25">
      <c r="A26">
        <f t="shared" si="2"/>
        <v>107</v>
      </c>
      <c r="B26">
        <v>22</v>
      </c>
      <c r="C26" s="12">
        <f t="shared" si="3"/>
        <v>0.4</v>
      </c>
      <c r="D26" s="10">
        <f t="shared" si="4"/>
        <v>0.6</v>
      </c>
      <c r="E26" s="198">
        <f>IF(B26&lt;=$C$2,1,IF(B26=$C$2+1,PRODUCT($D$5:D26),E25*D26))</f>
        <v>3.4071064459368226E-3</v>
      </c>
      <c r="F26" s="10">
        <f t="shared" si="0"/>
        <v>0.42195538665060278</v>
      </c>
      <c r="G26" s="10">
        <f t="shared" si="5"/>
        <v>1.4376469177550331E-3</v>
      </c>
      <c r="I26" s="13">
        <f t="shared" si="1"/>
        <v>17.035532229684112</v>
      </c>
      <c r="J26" s="11">
        <f>(SUM(G27:$G$79)*$I$1)</f>
        <v>9.7888109727681183</v>
      </c>
      <c r="K26" s="11">
        <f t="shared" si="6"/>
        <v>-7.1882345887751669</v>
      </c>
      <c r="Q26" s="65">
        <v>22</v>
      </c>
      <c r="R26" s="66">
        <f>Inputs!H29</f>
        <v>4.73E-4</v>
      </c>
    </row>
    <row r="27" spans="1:18" x14ac:dyDescent="0.25">
      <c r="A27">
        <f t="shared" si="2"/>
        <v>108</v>
      </c>
      <c r="B27">
        <v>23</v>
      </c>
      <c r="C27" s="12">
        <f t="shared" si="3"/>
        <v>0.4</v>
      </c>
      <c r="D27" s="10">
        <f t="shared" si="4"/>
        <v>0.6</v>
      </c>
      <c r="E27" s="198">
        <f>IF(B27&lt;=$C$2,1,IF(B27=$C$2+1,PRODUCT($D$5:D27),E26*D27))</f>
        <v>2.0442638675620935E-3</v>
      </c>
      <c r="F27" s="10">
        <f t="shared" si="0"/>
        <v>0.40572633331788732</v>
      </c>
      <c r="G27" s="10">
        <f t="shared" si="5"/>
        <v>8.2941168332021145E-4</v>
      </c>
      <c r="I27" s="13">
        <f t="shared" si="1"/>
        <v>10.221319337810467</v>
      </c>
      <c r="J27" s="11">
        <f>(SUM(G28:$G$79)*$I$1)</f>
        <v>5.6417525561670621</v>
      </c>
      <c r="K27" s="11">
        <f t="shared" si="6"/>
        <v>-4.1470584166010562</v>
      </c>
      <c r="Q27" s="65">
        <v>23</v>
      </c>
      <c r="R27" s="66">
        <f>Inputs!H30</f>
        <v>5.13E-4</v>
      </c>
    </row>
    <row r="28" spans="1:18" x14ac:dyDescent="0.25">
      <c r="A28">
        <f t="shared" si="2"/>
        <v>109</v>
      </c>
      <c r="B28">
        <v>24</v>
      </c>
      <c r="C28" s="12">
        <f t="shared" si="3"/>
        <v>0.4</v>
      </c>
      <c r="D28" s="10">
        <f t="shared" si="4"/>
        <v>0.6</v>
      </c>
      <c r="E28" s="198">
        <f>IF(B28&lt;=$C$2,1,IF(B28=$C$2+1,PRODUCT($D$5:D28),E27*D28))</f>
        <v>1.226558320537256E-3</v>
      </c>
      <c r="F28" s="10">
        <f t="shared" si="0"/>
        <v>0.39012147434412242</v>
      </c>
      <c r="G28" s="10">
        <f t="shared" si="5"/>
        <v>4.7850674037704501E-4</v>
      </c>
      <c r="I28" s="13">
        <f t="shared" si="1"/>
        <v>6.1327916026862797</v>
      </c>
      <c r="J28" s="11">
        <f>(SUM(G29:$G$79)*$I$1)</f>
        <v>3.2492188542818363</v>
      </c>
      <c r="K28" s="11">
        <f t="shared" si="6"/>
        <v>-2.3925337018852257</v>
      </c>
      <c r="Q28" s="65">
        <v>24</v>
      </c>
      <c r="R28" s="66">
        <f>Inputs!H31</f>
        <v>5.5400000000000002E-4</v>
      </c>
    </row>
    <row r="29" spans="1:18" x14ac:dyDescent="0.25">
      <c r="A29">
        <f t="shared" si="2"/>
        <v>110</v>
      </c>
      <c r="B29">
        <v>25</v>
      </c>
      <c r="C29" s="12">
        <f t="shared" si="3"/>
        <v>0.4</v>
      </c>
      <c r="D29" s="10">
        <f t="shared" si="4"/>
        <v>0.6</v>
      </c>
      <c r="E29" s="198">
        <f>IF(B29&lt;=$C$2,1,IF(B29=$C$2+1,PRODUCT($D$5:D29),E28*D29))</f>
        <v>7.3593499232235357E-4</v>
      </c>
      <c r="F29" s="10">
        <f t="shared" si="0"/>
        <v>0.37511680225396377</v>
      </c>
      <c r="G29" s="10">
        <f t="shared" si="5"/>
        <v>2.7606158098675667E-4</v>
      </c>
      <c r="I29" s="13">
        <f t="shared" si="1"/>
        <v>3.6796749616117679</v>
      </c>
      <c r="J29" s="11">
        <f>(SUM(G30:$G$79)*$I$1)</f>
        <v>1.8689109493480531</v>
      </c>
      <c r="K29" s="11">
        <f t="shared" si="6"/>
        <v>-1.3803079049337832</v>
      </c>
      <c r="Q29" s="65">
        <v>25</v>
      </c>
      <c r="R29" s="66">
        <f>Inputs!H32</f>
        <v>6.02E-4</v>
      </c>
    </row>
    <row r="30" spans="1:18" x14ac:dyDescent="0.25">
      <c r="A30">
        <f t="shared" si="2"/>
        <v>111</v>
      </c>
      <c r="B30">
        <v>26</v>
      </c>
      <c r="C30" s="12">
        <f t="shared" si="3"/>
        <v>0.4</v>
      </c>
      <c r="D30" s="10">
        <f t="shared" si="4"/>
        <v>0.6</v>
      </c>
      <c r="E30" s="198">
        <f>IF(B30&lt;=$C$2,1,IF(B30=$C$2+1,PRODUCT($D$5:D30),E29*D30))</f>
        <v>4.4156099539341214E-4</v>
      </c>
      <c r="F30" s="10">
        <f t="shared" si="0"/>
        <v>0.36068923293650368</v>
      </c>
      <c r="G30" s="10">
        <f t="shared" si="5"/>
        <v>1.5926629672312887E-4</v>
      </c>
      <c r="I30" s="13">
        <f t="shared" si="1"/>
        <v>2.2078049769670609</v>
      </c>
      <c r="J30" s="11">
        <f>(SUM(G31:$G$79)*$I$1)</f>
        <v>1.0725794657324088</v>
      </c>
      <c r="K30" s="11">
        <f t="shared" si="6"/>
        <v>-0.79633148361564432</v>
      </c>
      <c r="Q30" s="65">
        <v>26</v>
      </c>
      <c r="R30" s="66">
        <f>Inputs!H33</f>
        <v>6.5499999999999998E-4</v>
      </c>
    </row>
    <row r="31" spans="1:18" x14ac:dyDescent="0.25">
      <c r="A31">
        <f t="shared" si="2"/>
        <v>112</v>
      </c>
      <c r="B31">
        <v>27</v>
      </c>
      <c r="C31" s="12">
        <f t="shared" si="3"/>
        <v>0.4</v>
      </c>
      <c r="D31" s="10">
        <f t="shared" si="4"/>
        <v>0.6</v>
      </c>
      <c r="E31" s="198">
        <f>IF(B31&lt;=$C$2,1,IF(B31=$C$2+1,PRODUCT($D$5:D31),E30*D31))</f>
        <v>2.6493659723604725E-4</v>
      </c>
      <c r="F31" s="10">
        <f t="shared" si="0"/>
        <v>0.3468165701312535</v>
      </c>
      <c r="G31" s="10">
        <f t="shared" si="5"/>
        <v>9.1884401955651248E-5</v>
      </c>
      <c r="I31" s="13">
        <f t="shared" si="1"/>
        <v>1.3246829861802363</v>
      </c>
      <c r="J31" s="11">
        <f>(SUM(G32:$G$79)*$I$1)</f>
        <v>0.61315745595415272</v>
      </c>
      <c r="K31" s="11">
        <f t="shared" si="6"/>
        <v>-0.45942200977825609</v>
      </c>
      <c r="Q31" s="65">
        <v>27</v>
      </c>
      <c r="R31" s="66">
        <f>Inputs!H34</f>
        <v>6.8800000000000003E-4</v>
      </c>
    </row>
    <row r="32" spans="1:18" x14ac:dyDescent="0.25">
      <c r="A32">
        <f t="shared" si="2"/>
        <v>113</v>
      </c>
      <c r="B32">
        <v>28</v>
      </c>
      <c r="C32" s="12">
        <f t="shared" si="3"/>
        <v>0.4</v>
      </c>
      <c r="D32" s="10">
        <f t="shared" si="4"/>
        <v>0.6</v>
      </c>
      <c r="E32" s="198">
        <f>IF(B32&lt;=$C$2,1,IF(B32=$C$2+1,PRODUCT($D$5:D32),E31*D32))</f>
        <v>1.5896195834162836E-4</v>
      </c>
      <c r="F32" s="10">
        <f t="shared" si="0"/>
        <v>0.3334774712800514</v>
      </c>
      <c r="G32" s="10">
        <f t="shared" si="5"/>
        <v>5.3010231897491094E-5</v>
      </c>
      <c r="I32" s="13">
        <f t="shared" si="1"/>
        <v>0.79480979170814181</v>
      </c>
      <c r="J32" s="11">
        <f>(SUM(G33:$G$79)*$I$1)</f>
        <v>0.34810629646669722</v>
      </c>
      <c r="K32" s="11">
        <f t="shared" si="6"/>
        <v>-0.2650511594874555</v>
      </c>
      <c r="Q32" s="65">
        <v>28</v>
      </c>
      <c r="R32" s="66">
        <f>Inputs!H35</f>
        <v>7.1000000000000002E-4</v>
      </c>
    </row>
    <row r="33" spans="1:18" x14ac:dyDescent="0.25">
      <c r="A33">
        <f t="shared" si="2"/>
        <v>114</v>
      </c>
      <c r="B33">
        <v>29</v>
      </c>
      <c r="C33" s="12">
        <f t="shared" si="3"/>
        <v>0.4</v>
      </c>
      <c r="D33" s="10">
        <f t="shared" si="4"/>
        <v>0.6</v>
      </c>
      <c r="E33" s="198">
        <f>IF(B33&lt;=$C$2,1,IF(B33=$C$2+1,PRODUCT($D$5:D33),E32*D33))</f>
        <v>9.5377175004977014E-5</v>
      </c>
      <c r="F33" s="10">
        <f t="shared" si="0"/>
        <v>0.32065141469235708</v>
      </c>
      <c r="G33" s="10">
        <f t="shared" si="5"/>
        <v>3.0582826094706401E-5</v>
      </c>
      <c r="I33" s="13">
        <f t="shared" si="1"/>
        <v>0.47688587502488505</v>
      </c>
      <c r="J33" s="11">
        <f>(SUM(G34:$G$79)*$I$1)</f>
        <v>0.19519216599316516</v>
      </c>
      <c r="K33" s="11">
        <f t="shared" si="6"/>
        <v>-0.15291413047353206</v>
      </c>
      <c r="Q33" s="65">
        <v>29</v>
      </c>
      <c r="R33" s="66">
        <f>Inputs!H36</f>
        <v>7.27E-4</v>
      </c>
    </row>
    <row r="34" spans="1:18" x14ac:dyDescent="0.25">
      <c r="A34">
        <f t="shared" si="2"/>
        <v>115</v>
      </c>
      <c r="B34">
        <v>30</v>
      </c>
      <c r="C34" s="12">
        <f t="shared" si="3"/>
        <v>0.4</v>
      </c>
      <c r="D34" s="10">
        <f t="shared" si="4"/>
        <v>0.6</v>
      </c>
      <c r="E34" s="198">
        <f>IF(B34&lt;=$C$2,1,IF(B34=$C$2+1,PRODUCT($D$5:D34),E33*D34))</f>
        <v>5.7226305002986203E-5</v>
      </c>
      <c r="F34" s="10">
        <f t="shared" si="0"/>
        <v>0.30831866797342034</v>
      </c>
      <c r="G34" s="10">
        <f t="shared" si="5"/>
        <v>1.7643938131561387E-5</v>
      </c>
      <c r="I34" s="13">
        <f t="shared" si="1"/>
        <v>0.286131525014931</v>
      </c>
      <c r="J34" s="11">
        <f>(SUM(G35:$G$79)*$I$1)</f>
        <v>0.10697247533535828</v>
      </c>
      <c r="K34" s="11">
        <f t="shared" si="6"/>
        <v>-8.8219690657806882E-2</v>
      </c>
      <c r="Q34" s="65">
        <v>30</v>
      </c>
      <c r="R34" s="66">
        <f>Inputs!H37</f>
        <v>7.4100000000000001E-4</v>
      </c>
    </row>
    <row r="35" spans="1:18" x14ac:dyDescent="0.25">
      <c r="A35">
        <f t="shared" si="2"/>
        <v>116</v>
      </c>
      <c r="B35">
        <v>31</v>
      </c>
      <c r="C35" s="12">
        <f t="shared" si="3"/>
        <v>0.4</v>
      </c>
      <c r="D35" s="10">
        <f t="shared" si="4"/>
        <v>0.6</v>
      </c>
      <c r="E35" s="198">
        <f>IF(B35&lt;=$C$2,1,IF(B35=$C$2+1,PRODUCT($D$5:D35),E34*D35))</f>
        <v>3.4335783001791723E-5</v>
      </c>
      <c r="F35" s="10">
        <f t="shared" si="0"/>
        <v>0.29646025766675027</v>
      </c>
      <c r="G35" s="10">
        <f t="shared" si="5"/>
        <v>1.0179195075900798E-5</v>
      </c>
      <c r="I35" s="13">
        <f t="shared" si="1"/>
        <v>0.17167891500895863</v>
      </c>
      <c r="J35" s="11">
        <f>(SUM(G36:$G$79)*$I$1)</f>
        <v>5.6076499955854273E-2</v>
      </c>
      <c r="K35" s="11">
        <f t="shared" si="6"/>
        <v>-5.0895975379504008E-2</v>
      </c>
      <c r="Q35" s="65">
        <v>31</v>
      </c>
      <c r="R35" s="66">
        <f>Inputs!H38</f>
        <v>7.5100000000000004E-4</v>
      </c>
    </row>
    <row r="36" spans="1:18" x14ac:dyDescent="0.25">
      <c r="A36">
        <f t="shared" si="2"/>
        <v>117</v>
      </c>
      <c r="B36">
        <v>32</v>
      </c>
      <c r="C36" s="12">
        <f t="shared" si="3"/>
        <v>0.4</v>
      </c>
      <c r="D36" s="10">
        <f t="shared" si="4"/>
        <v>0.6</v>
      </c>
      <c r="E36" s="198">
        <f>IF(B36&lt;=$C$2,1,IF(B36=$C$2+1,PRODUCT($D$5:D36),E35*D36))</f>
        <v>2.0601469801075034E-5</v>
      </c>
      <c r="F36" s="10">
        <f t="shared" si="0"/>
        <v>0.28505794006418295</v>
      </c>
      <c r="G36" s="10">
        <f t="shared" si="5"/>
        <v>5.872612543788922E-6</v>
      </c>
      <c r="I36" s="13">
        <f t="shared" si="1"/>
        <v>0.10300734900537517</v>
      </c>
      <c r="J36" s="11">
        <f>(SUM(G37:$G$79)*$I$1)</f>
        <v>2.6713437236909669E-2</v>
      </c>
      <c r="K36" s="11">
        <f t="shared" si="6"/>
        <v>-2.9363062718944604E-2</v>
      </c>
      <c r="Q36" s="65">
        <v>32</v>
      </c>
      <c r="R36" s="66">
        <f>Inputs!H39</f>
        <v>7.54E-4</v>
      </c>
    </row>
    <row r="37" spans="1:18" x14ac:dyDescent="0.25">
      <c r="A37">
        <f t="shared" si="2"/>
        <v>118</v>
      </c>
      <c r="B37">
        <v>33</v>
      </c>
      <c r="C37" s="12">
        <f t="shared" si="3"/>
        <v>0.4</v>
      </c>
      <c r="D37" s="10">
        <f t="shared" si="4"/>
        <v>0.6</v>
      </c>
      <c r="E37" s="198">
        <f>IF(B37&lt;=$C$2,1,IF(B37=$C$2+1,PRODUCT($D$5:D37),E36*D37))</f>
        <v>1.2360881880645021E-5</v>
      </c>
      <c r="F37" s="10">
        <f t="shared" si="0"/>
        <v>0.27409417313863743</v>
      </c>
      <c r="G37" s="10">
        <f t="shared" si="5"/>
        <v>3.3880456983397627E-6</v>
      </c>
      <c r="I37" s="13">
        <f t="shared" si="1"/>
        <v>6.1804409403225104E-2</v>
      </c>
      <c r="J37" s="11">
        <f>(SUM(G38:$G$79)*$I$1)</f>
        <v>9.7732087452108516E-3</v>
      </c>
      <c r="K37" s="11">
        <f t="shared" si="6"/>
        <v>-1.6940228491698815E-2</v>
      </c>
      <c r="Q37" s="65">
        <v>33</v>
      </c>
      <c r="R37" s="66">
        <f>Inputs!H40</f>
        <v>7.5600000000000005E-4</v>
      </c>
    </row>
    <row r="38" spans="1:18" x14ac:dyDescent="0.25">
      <c r="A38">
        <f t="shared" si="2"/>
        <v>119</v>
      </c>
      <c r="B38">
        <v>34</v>
      </c>
      <c r="C38" s="12">
        <f t="shared" si="3"/>
        <v>0.4</v>
      </c>
      <c r="D38" s="10">
        <f t="shared" si="4"/>
        <v>0.6</v>
      </c>
      <c r="E38" s="198">
        <f>IF(B38&lt;=$C$2,1,IF(B38=$C$2+1,PRODUCT($D$5:D38),E37*D38))</f>
        <v>7.4165291283870117E-6</v>
      </c>
      <c r="F38" s="10">
        <f t="shared" si="0"/>
        <v>0.26355208955638215</v>
      </c>
      <c r="G38" s="10">
        <f t="shared" si="5"/>
        <v>1.9546417490421704E-6</v>
      </c>
      <c r="I38" s="13">
        <f t="shared" si="1"/>
        <v>3.7082645641935058E-2</v>
      </c>
      <c r="J38" s="11">
        <f>(SUM(G39:$G$79)*$I$1)</f>
        <v>0</v>
      </c>
      <c r="K38" s="11">
        <f t="shared" si="6"/>
        <v>-9.7732087452108516E-3</v>
      </c>
      <c r="Q38" s="65">
        <v>34</v>
      </c>
      <c r="R38" s="66">
        <f>Inputs!H41</f>
        <v>7.5600000000000005E-4</v>
      </c>
    </row>
    <row r="39" spans="1:18" x14ac:dyDescent="0.25">
      <c r="A39">
        <f t="shared" si="2"/>
        <v>120</v>
      </c>
      <c r="B39">
        <v>35</v>
      </c>
      <c r="C39" s="12">
        <f t="shared" si="3"/>
        <v>1</v>
      </c>
      <c r="D39" s="10">
        <f t="shared" si="4"/>
        <v>0</v>
      </c>
      <c r="E39" s="198">
        <f>IF(B39&lt;=$C$2,1,IF(B39=$C$2+1,PRODUCT($D$5:D39),E38*D39))</f>
        <v>0</v>
      </c>
      <c r="F39" s="10">
        <f t="shared" si="0"/>
        <v>0</v>
      </c>
      <c r="G39" s="10">
        <f t="shared" si="5"/>
        <v>0</v>
      </c>
      <c r="I39" s="13">
        <f t="shared" si="1"/>
        <v>0</v>
      </c>
      <c r="J39" s="11">
        <f>(SUM(G40:$G$79)*$I$1)</f>
        <v>0</v>
      </c>
      <c r="K39" s="11">
        <f t="shared" si="6"/>
        <v>0</v>
      </c>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9">
    <cfRule type="cellIs" dxfId="14"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3"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150</v>
      </c>
      <c r="I1" s="3">
        <v>5000</v>
      </c>
      <c r="J1" s="181" t="s">
        <v>173</v>
      </c>
      <c r="L1" s="1"/>
      <c r="M1" s="4"/>
      <c r="N1" s="4"/>
      <c r="O1" s="4"/>
      <c r="P1" s="4"/>
      <c r="Q1" s="64"/>
      <c r="R1" s="28"/>
    </row>
    <row r="2" spans="1:18" ht="15.75" customHeight="1" thickBot="1" x14ac:dyDescent="0.3">
      <c r="B2" t="s">
        <v>227</v>
      </c>
      <c r="C2">
        <v>10</v>
      </c>
      <c r="F2" s="5">
        <f>'Asset and Liability Durations'!N28</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5.6452528071398129</v>
      </c>
      <c r="N3" s="10"/>
      <c r="O3" s="10"/>
      <c r="P3" s="10"/>
      <c r="Q3" s="31"/>
      <c r="R3" s="32"/>
    </row>
    <row r="4" spans="1:18" x14ac:dyDescent="0.25">
      <c r="A4">
        <v>85</v>
      </c>
      <c r="B4">
        <v>0</v>
      </c>
      <c r="C4" s="8"/>
      <c r="D4" s="7"/>
      <c r="E4" s="7"/>
      <c r="F4" s="7"/>
      <c r="G4" s="10">
        <v>1</v>
      </c>
      <c r="J4" s="11">
        <f>(SUM(G5:$G$79)*$I$1)</f>
        <v>43075.794839837406</v>
      </c>
      <c r="Q4" s="65">
        <v>0</v>
      </c>
      <c r="R4" s="66">
        <f>Inputs!H7</f>
        <v>1.6050000000000001E-3</v>
      </c>
    </row>
    <row r="5" spans="1:18" ht="15.75" thickBot="1" x14ac:dyDescent="0.3">
      <c r="A5">
        <f>B5+$A$4</f>
        <v>86</v>
      </c>
      <c r="B5">
        <v>1</v>
      </c>
      <c r="C5" s="12">
        <f>VLOOKUP(A5,$Q$4:$R$124,2,FALSE)</f>
        <v>6.7514000000000005E-2</v>
      </c>
      <c r="D5" s="10">
        <f>1-C5</f>
        <v>0.93248600000000004</v>
      </c>
      <c r="E5" s="198">
        <f>IF(B5&lt;=$C$2,1,IF(B5=$C$2+1,PRODUCT($D$5:D5),E4*D5))</f>
        <v>1</v>
      </c>
      <c r="F5" s="10">
        <f t="shared" ref="F5:F39" si="0">IF(D5=0,0,(1+$F$2)^-B5)</f>
        <v>0.96153846153846145</v>
      </c>
      <c r="G5" s="10">
        <f>F5*E5</f>
        <v>0.96153846153846145</v>
      </c>
      <c r="I5" s="13">
        <f t="shared" ref="I5:I39" si="1">E5*$I$1</f>
        <v>5000</v>
      </c>
      <c r="J5" s="11">
        <f>(SUM(G6:$G$79)*$I$1)</f>
        <v>38268.102532145087</v>
      </c>
      <c r="K5" s="11">
        <f>J5-J4</f>
        <v>-4807.6923076923194</v>
      </c>
      <c r="L5" s="14" t="s">
        <v>16</v>
      </c>
      <c r="M5" s="14" t="s">
        <v>17</v>
      </c>
      <c r="N5" s="14" t="s">
        <v>18</v>
      </c>
      <c r="O5" s="14" t="s">
        <v>47</v>
      </c>
      <c r="Q5" s="65">
        <v>1</v>
      </c>
      <c r="R5" s="66">
        <f>Inputs!H8</f>
        <v>4.0099999999999999E-4</v>
      </c>
    </row>
    <row r="6" spans="1:18" x14ac:dyDescent="0.25">
      <c r="A6">
        <f t="shared" ref="A6:A39" si="2">B6+$A$4</f>
        <v>87</v>
      </c>
      <c r="B6">
        <v>2</v>
      </c>
      <c r="C6" s="12">
        <f t="shared" ref="C6:C39" si="3">VLOOKUP(A6,$Q$4:$R$124,2,FALSE)</f>
        <v>7.6340000000000005E-2</v>
      </c>
      <c r="D6" s="10">
        <f t="shared" ref="D6:D39" si="4">1-C6</f>
        <v>0.92366000000000004</v>
      </c>
      <c r="E6" s="198">
        <f>IF(B6&lt;=$C$2,1,IF(B6=$C$2+1,PRODUCT($D$5:D6),E5*D6))</f>
        <v>1</v>
      </c>
      <c r="F6" s="10">
        <f t="shared" si="0"/>
        <v>0.92455621301775137</v>
      </c>
      <c r="G6" s="10">
        <f t="shared" ref="G6:G39" si="5">F6*E6</f>
        <v>0.92455621301775137</v>
      </c>
      <c r="I6" s="13">
        <f t="shared" si="1"/>
        <v>5000</v>
      </c>
      <c r="J6" s="11">
        <f>(SUM(G7:$G$79)*$I$1)</f>
        <v>33645.321467056325</v>
      </c>
      <c r="K6" s="11">
        <f t="shared" ref="K6:K39" si="6">J6-J5</f>
        <v>-4622.7810650887623</v>
      </c>
      <c r="L6" s="14">
        <v>2</v>
      </c>
      <c r="M6" s="54" t="s">
        <v>44</v>
      </c>
      <c r="N6" s="15">
        <f>SUM(I5:I7)</f>
        <v>15000</v>
      </c>
      <c r="O6" s="16">
        <f>N6/SUM($N$6:$N$9)</f>
        <v>0.27652236641273342</v>
      </c>
      <c r="Q6" s="65">
        <v>2</v>
      </c>
      <c r="R6" s="66">
        <f>Inputs!H9</f>
        <v>2.7500000000000002E-4</v>
      </c>
    </row>
    <row r="7" spans="1:18" x14ac:dyDescent="0.25">
      <c r="A7">
        <f t="shared" si="2"/>
        <v>88</v>
      </c>
      <c r="B7">
        <v>3</v>
      </c>
      <c r="C7" s="12">
        <f t="shared" si="3"/>
        <v>8.6388000000000006E-2</v>
      </c>
      <c r="D7" s="10">
        <f t="shared" si="4"/>
        <v>0.91361199999999998</v>
      </c>
      <c r="E7" s="198">
        <f>IF(B7&lt;=$C$2,1,IF(B7=$C$2+1,PRODUCT($D$5:D7),E6*D7))</f>
        <v>1</v>
      </c>
      <c r="F7" s="10">
        <f t="shared" si="0"/>
        <v>0.88899635867091487</v>
      </c>
      <c r="G7" s="10">
        <f t="shared" si="5"/>
        <v>0.88899635867091487</v>
      </c>
      <c r="I7" s="13">
        <f t="shared" si="1"/>
        <v>5000</v>
      </c>
      <c r="J7" s="11">
        <f>(SUM(G8:$G$79)*$I$1)</f>
        <v>29200.33967370175</v>
      </c>
      <c r="K7" s="11">
        <f t="shared" si="6"/>
        <v>-4444.9817933545746</v>
      </c>
      <c r="L7" s="14">
        <v>5</v>
      </c>
      <c r="M7" s="19" t="s">
        <v>45</v>
      </c>
      <c r="N7" s="17">
        <f>SUM(I8:I11)</f>
        <v>20000</v>
      </c>
      <c r="O7" s="18">
        <f>N7/SUM($N$6:$N$9)</f>
        <v>0.36869648855031129</v>
      </c>
      <c r="Q7" s="65">
        <v>3</v>
      </c>
      <c r="R7" s="66">
        <f>Inputs!H10</f>
        <v>2.2900000000000001E-4</v>
      </c>
    </row>
    <row r="8" spans="1:18" x14ac:dyDescent="0.25">
      <c r="A8">
        <f t="shared" si="2"/>
        <v>89</v>
      </c>
      <c r="B8">
        <v>4</v>
      </c>
      <c r="C8" s="12">
        <f t="shared" si="3"/>
        <v>9.7633999999999999E-2</v>
      </c>
      <c r="D8" s="10">
        <f t="shared" si="4"/>
        <v>0.902366</v>
      </c>
      <c r="E8" s="198">
        <f>IF(B8&lt;=$C$2,1,IF(B8=$C$2+1,PRODUCT($D$5:D8),E7*D8))</f>
        <v>1</v>
      </c>
      <c r="F8" s="10">
        <f t="shared" si="0"/>
        <v>0.85480419102972571</v>
      </c>
      <c r="G8" s="10">
        <f>F8*E8</f>
        <v>0.85480419102972571</v>
      </c>
      <c r="I8" s="13">
        <f t="shared" si="1"/>
        <v>5000</v>
      </c>
      <c r="J8" s="11">
        <f>(SUM(G9:$G$79)*$I$1)</f>
        <v>24926.318718553128</v>
      </c>
      <c r="K8" s="11">
        <f t="shared" si="6"/>
        <v>-4274.0209551486223</v>
      </c>
      <c r="L8" s="14">
        <v>10</v>
      </c>
      <c r="M8" s="19" t="s">
        <v>46</v>
      </c>
      <c r="N8" s="17">
        <f>SUM(I12:I19)</f>
        <v>18495.375076313703</v>
      </c>
      <c r="O8" s="18">
        <f>N8/SUM($N$6:$N$9)</f>
        <v>0.34095899225289039</v>
      </c>
      <c r="Q8" s="65">
        <v>4</v>
      </c>
      <c r="R8" s="66">
        <f>Inputs!H11</f>
        <v>1.74E-4</v>
      </c>
    </row>
    <row r="9" spans="1:18" ht="15.75" thickBot="1" x14ac:dyDescent="0.3">
      <c r="A9">
        <f t="shared" si="2"/>
        <v>90</v>
      </c>
      <c r="B9">
        <v>5</v>
      </c>
      <c r="C9" s="12">
        <f t="shared" si="3"/>
        <v>0.10999299999999999</v>
      </c>
      <c r="D9" s="10">
        <f t="shared" si="4"/>
        <v>0.89000699999999999</v>
      </c>
      <c r="E9" s="198">
        <f>IF(B9&lt;=$C$2,1,IF(B9=$C$2+1,PRODUCT($D$5:D9),E8*D9))</f>
        <v>1</v>
      </c>
      <c r="F9" s="10">
        <f t="shared" si="0"/>
        <v>0.82192710675935154</v>
      </c>
      <c r="G9" s="10">
        <f t="shared" si="5"/>
        <v>0.82192710675935154</v>
      </c>
      <c r="I9" s="13">
        <f t="shared" si="1"/>
        <v>5000</v>
      </c>
      <c r="J9" s="11">
        <f>(SUM(G10:$G$79)*$I$1)</f>
        <v>20816.683184756363</v>
      </c>
      <c r="K9" s="11">
        <f t="shared" si="6"/>
        <v>-4109.6355337967652</v>
      </c>
      <c r="L9" s="14">
        <v>30</v>
      </c>
      <c r="M9" s="20" t="s">
        <v>48</v>
      </c>
      <c r="N9" s="21">
        <f>SUM(I20:I70)</f>
        <v>749.78488883431783</v>
      </c>
      <c r="O9" s="22">
        <f>N9/SUM($N$6:$N$9)</f>
        <v>1.3822152784064923E-2</v>
      </c>
      <c r="Q9" s="65">
        <v>5</v>
      </c>
      <c r="R9" s="66">
        <f>Inputs!H12</f>
        <v>1.6799999999999999E-4</v>
      </c>
    </row>
    <row r="10" spans="1:18" x14ac:dyDescent="0.25">
      <c r="A10">
        <f t="shared" si="2"/>
        <v>91</v>
      </c>
      <c r="B10">
        <v>6</v>
      </c>
      <c r="C10" s="12">
        <f t="shared" si="3"/>
        <v>0.12311900000000001</v>
      </c>
      <c r="D10" s="10">
        <f t="shared" si="4"/>
        <v>0.87688100000000002</v>
      </c>
      <c r="E10" s="198">
        <f>IF(B10&lt;=$C$2,1,IF(B10=$C$2+1,PRODUCT($D$5:D10),E9*D10))</f>
        <v>1</v>
      </c>
      <c r="F10" s="10">
        <f t="shared" si="0"/>
        <v>0.79031452573014571</v>
      </c>
      <c r="G10" s="10">
        <f t="shared" si="5"/>
        <v>0.79031452573014571</v>
      </c>
      <c r="I10" s="13">
        <f t="shared" si="1"/>
        <v>5000</v>
      </c>
      <c r="J10" s="11">
        <f>(SUM(G11:$G$79)*$I$1)</f>
        <v>16865.110556105628</v>
      </c>
      <c r="K10" s="11">
        <f t="shared" si="6"/>
        <v>-3951.5726286507343</v>
      </c>
      <c r="L10" s="53">
        <f>+SUMPRODUCT(L6:L9,O6:O9)</f>
        <v>6.2207816816278747</v>
      </c>
      <c r="O10" s="23">
        <f>SUM(O6:O9)</f>
        <v>1</v>
      </c>
      <c r="Q10" s="65">
        <v>6</v>
      </c>
      <c r="R10" s="66">
        <f>Inputs!H13</f>
        <v>1.65E-4</v>
      </c>
    </row>
    <row r="11" spans="1:18" x14ac:dyDescent="0.25">
      <c r="A11">
        <f t="shared" si="2"/>
        <v>92</v>
      </c>
      <c r="B11">
        <v>7</v>
      </c>
      <c r="C11" s="12">
        <f t="shared" si="3"/>
        <v>0.13716800000000001</v>
      </c>
      <c r="D11" s="10">
        <f t="shared" si="4"/>
        <v>0.86283200000000004</v>
      </c>
      <c r="E11" s="198">
        <f>IF(B11&lt;=$C$2,1,IF(B11=$C$2+1,PRODUCT($D$5:D11),E10*D11))</f>
        <v>1</v>
      </c>
      <c r="F11" s="10">
        <f t="shared" si="0"/>
        <v>0.75991781320206331</v>
      </c>
      <c r="G11" s="10">
        <f t="shared" si="5"/>
        <v>0.75991781320206331</v>
      </c>
      <c r="I11" s="13">
        <f t="shared" si="1"/>
        <v>5000</v>
      </c>
      <c r="J11" s="11">
        <f>(SUM(G12:$G$79)*$I$1)</f>
        <v>13065.521490095311</v>
      </c>
      <c r="K11" s="11">
        <f t="shared" si="6"/>
        <v>-3799.5890660103178</v>
      </c>
      <c r="Q11" s="65">
        <v>7</v>
      </c>
      <c r="R11" s="66">
        <f>Inputs!H14</f>
        <v>1.5899999999999999E-4</v>
      </c>
    </row>
    <row r="12" spans="1:18" x14ac:dyDescent="0.25">
      <c r="A12">
        <f t="shared" si="2"/>
        <v>93</v>
      </c>
      <c r="B12">
        <v>8</v>
      </c>
      <c r="C12" s="12">
        <f t="shared" si="3"/>
        <v>0.152171</v>
      </c>
      <c r="D12" s="10">
        <f t="shared" si="4"/>
        <v>0.84782899999999994</v>
      </c>
      <c r="E12" s="198">
        <f>IF(B12&lt;=$C$2,1,IF(B12=$C$2+1,PRODUCT($D$5:D12),E11*D12))</f>
        <v>1</v>
      </c>
      <c r="F12" s="10">
        <f t="shared" si="0"/>
        <v>0.73069020500198378</v>
      </c>
      <c r="G12" s="10">
        <f t="shared" si="5"/>
        <v>0.73069020500198378</v>
      </c>
      <c r="I12" s="13">
        <f t="shared" si="1"/>
        <v>5000</v>
      </c>
      <c r="J12" s="11">
        <f>(SUM(G13:$G$79)*$I$1)</f>
        <v>9412.0704650854041</v>
      </c>
      <c r="K12" s="11">
        <f t="shared" si="6"/>
        <v>-3653.4510250099065</v>
      </c>
      <c r="Q12" s="65">
        <v>8</v>
      </c>
      <c r="R12" s="66">
        <f>Inputs!H15</f>
        <v>1.4300000000000001E-4</v>
      </c>
    </row>
    <row r="13" spans="1:18" x14ac:dyDescent="0.25">
      <c r="A13">
        <f t="shared" si="2"/>
        <v>94</v>
      </c>
      <c r="B13">
        <v>9</v>
      </c>
      <c r="C13" s="12">
        <f t="shared" si="3"/>
        <v>0.16819400000000001</v>
      </c>
      <c r="D13" s="10">
        <f t="shared" si="4"/>
        <v>0.83180600000000005</v>
      </c>
      <c r="E13" s="198">
        <f>IF(B13&lt;=$C$2,1,IF(B13=$C$2+1,PRODUCT($D$5:D13),E12*D13))</f>
        <v>1</v>
      </c>
      <c r="F13" s="10">
        <f t="shared" si="0"/>
        <v>0.70258673557883045</v>
      </c>
      <c r="G13" s="10">
        <f t="shared" si="5"/>
        <v>0.70258673557883045</v>
      </c>
      <c r="I13" s="13">
        <f t="shared" si="1"/>
        <v>5000</v>
      </c>
      <c r="J13" s="11">
        <f>(SUM(G14:$G$79)*$I$1)</f>
        <v>5899.1367871912516</v>
      </c>
      <c r="K13" s="11">
        <f t="shared" si="6"/>
        <v>-3512.9336778941524</v>
      </c>
      <c r="Q13" s="65">
        <v>9</v>
      </c>
      <c r="R13" s="66">
        <f>Inputs!H16</f>
        <v>1.2899999999999999E-4</v>
      </c>
    </row>
    <row r="14" spans="1:18" x14ac:dyDescent="0.25">
      <c r="A14">
        <f t="shared" si="2"/>
        <v>95</v>
      </c>
      <c r="B14">
        <v>10</v>
      </c>
      <c r="C14" s="12">
        <f t="shared" si="3"/>
        <v>0.18526000000000001</v>
      </c>
      <c r="D14" s="10">
        <f t="shared" si="4"/>
        <v>0.81474000000000002</v>
      </c>
      <c r="E14" s="198">
        <f>IF(B14&lt;=$C$2,1,IF(B14=$C$2+1,PRODUCT($D$5:D14),E13*D14))</f>
        <v>1</v>
      </c>
      <c r="F14" s="10">
        <f t="shared" si="0"/>
        <v>0.67556416882579851</v>
      </c>
      <c r="G14" s="10">
        <f t="shared" si="5"/>
        <v>0.67556416882579851</v>
      </c>
      <c r="I14" s="13">
        <f t="shared" si="1"/>
        <v>5000</v>
      </c>
      <c r="J14" s="11">
        <f>(SUM(G15:$G$79)*$I$1)</f>
        <v>2521.315943062255</v>
      </c>
      <c r="K14" s="11">
        <f t="shared" si="6"/>
        <v>-3377.8208441289967</v>
      </c>
      <c r="Q14" s="65">
        <v>10</v>
      </c>
      <c r="R14" s="66">
        <f>Inputs!H17</f>
        <v>1.13E-4</v>
      </c>
    </row>
    <row r="15" spans="1:18" x14ac:dyDescent="0.25">
      <c r="A15">
        <f t="shared" si="2"/>
        <v>96</v>
      </c>
      <c r="B15">
        <v>11</v>
      </c>
      <c r="C15" s="12">
        <f t="shared" si="3"/>
        <v>0.197322</v>
      </c>
      <c r="D15" s="10">
        <f t="shared" si="4"/>
        <v>0.802678</v>
      </c>
      <c r="E15" s="198">
        <f>IF(B15&lt;=$C$2,1,IF(B15=$C$2+1,PRODUCT($D$5:D15),E14*D15))</f>
        <v>0.22052103186735847</v>
      </c>
      <c r="F15" s="10">
        <f t="shared" si="0"/>
        <v>0.6495809315632679</v>
      </c>
      <c r="G15" s="10">
        <f t="shared" si="5"/>
        <v>0.14324625730969182</v>
      </c>
      <c r="I15" s="13">
        <f t="shared" si="1"/>
        <v>1102.6051593367924</v>
      </c>
      <c r="J15" s="11">
        <f>(SUM(G16:$G$79)*$I$1)</f>
        <v>1805.0846565137965</v>
      </c>
      <c r="K15" s="11">
        <f t="shared" si="6"/>
        <v>-716.23128654845846</v>
      </c>
      <c r="Q15" s="65">
        <v>11</v>
      </c>
      <c r="R15" s="66">
        <f>Inputs!H18</f>
        <v>1.11E-4</v>
      </c>
    </row>
    <row r="16" spans="1:18" x14ac:dyDescent="0.25">
      <c r="A16">
        <f t="shared" si="2"/>
        <v>97</v>
      </c>
      <c r="B16">
        <v>12</v>
      </c>
      <c r="C16" s="12">
        <f t="shared" si="3"/>
        <v>0.214751</v>
      </c>
      <c r="D16" s="10">
        <f t="shared" si="4"/>
        <v>0.78524899999999997</v>
      </c>
      <c r="E16" s="198">
        <f>IF(B16&lt;=$C$2,1,IF(B16=$C$2+1,PRODUCT($D$5:D16),E15*D16))</f>
        <v>0.17316391975281137</v>
      </c>
      <c r="F16" s="10">
        <f t="shared" si="0"/>
        <v>0.62459704958006512</v>
      </c>
      <c r="G16" s="10">
        <f t="shared" si="5"/>
        <v>0.10815767337132515</v>
      </c>
      <c r="I16" s="13">
        <f t="shared" si="1"/>
        <v>865.81959876405688</v>
      </c>
      <c r="J16" s="11">
        <f>(SUM(G17:$G$79)*$I$1)</f>
        <v>1264.296289657171</v>
      </c>
      <c r="K16" s="11">
        <f t="shared" si="6"/>
        <v>-540.78836685662554</v>
      </c>
      <c r="Q16" s="65">
        <v>12</v>
      </c>
      <c r="R16" s="66">
        <f>Inputs!H19</f>
        <v>1.3200000000000001E-4</v>
      </c>
    </row>
    <row r="17" spans="1:18" x14ac:dyDescent="0.25">
      <c r="A17">
        <f t="shared" si="2"/>
        <v>98</v>
      </c>
      <c r="B17">
        <v>13</v>
      </c>
      <c r="C17" s="12">
        <f t="shared" si="3"/>
        <v>0.23250699999999999</v>
      </c>
      <c r="D17" s="10">
        <f t="shared" si="4"/>
        <v>0.76749299999999998</v>
      </c>
      <c r="E17" s="198">
        <f>IF(B17&lt;=$C$2,1,IF(B17=$C$2+1,PRODUCT($D$5:D17),E16*D17))</f>
        <v>0.13290209626284447</v>
      </c>
      <c r="F17" s="10">
        <f t="shared" si="0"/>
        <v>0.600574086134678</v>
      </c>
      <c r="G17" s="10">
        <f t="shared" si="5"/>
        <v>7.9817555008440816E-2</v>
      </c>
      <c r="I17" s="13">
        <f t="shared" si="1"/>
        <v>664.51048131422237</v>
      </c>
      <c r="J17" s="11">
        <f>(SUM(G18:$G$79)*$I$1)</f>
        <v>865.20851461496648</v>
      </c>
      <c r="K17" s="11">
        <f t="shared" si="6"/>
        <v>-399.0877750422045</v>
      </c>
      <c r="Q17" s="65">
        <v>13</v>
      </c>
      <c r="R17" s="66">
        <f>Inputs!H20</f>
        <v>1.6899999999999999E-4</v>
      </c>
    </row>
    <row r="18" spans="1:18" x14ac:dyDescent="0.25">
      <c r="A18">
        <f t="shared" si="2"/>
        <v>99</v>
      </c>
      <c r="B18">
        <v>14</v>
      </c>
      <c r="C18" s="12">
        <f t="shared" si="3"/>
        <v>0.25039699999999998</v>
      </c>
      <c r="D18" s="10">
        <f t="shared" si="4"/>
        <v>0.74960300000000002</v>
      </c>
      <c r="E18" s="198">
        <f>IF(B18&lt;=$C$2,1,IF(B18=$C$2+1,PRODUCT($D$5:D18),E17*D18))</f>
        <v>9.9623810064917009E-2</v>
      </c>
      <c r="F18" s="10">
        <f t="shared" si="0"/>
        <v>0.57747508282180582</v>
      </c>
      <c r="G18" s="10">
        <f t="shared" si="5"/>
        <v>5.75302679682618E-2</v>
      </c>
      <c r="I18" s="13">
        <f t="shared" si="1"/>
        <v>498.11905032458503</v>
      </c>
      <c r="J18" s="11">
        <f>(SUM(G19:$G$79)*$I$1)</f>
        <v>577.55717477365738</v>
      </c>
      <c r="K18" s="11">
        <f t="shared" si="6"/>
        <v>-287.6513398413091</v>
      </c>
      <c r="Q18" s="65">
        <v>14</v>
      </c>
      <c r="R18" s="66">
        <f>Inputs!H21</f>
        <v>2.13E-4</v>
      </c>
    </row>
    <row r="19" spans="1:18" x14ac:dyDescent="0.25">
      <c r="A19">
        <f t="shared" si="2"/>
        <v>100</v>
      </c>
      <c r="B19">
        <v>15</v>
      </c>
      <c r="C19" s="12">
        <f t="shared" si="3"/>
        <v>0.26860699999999998</v>
      </c>
      <c r="D19" s="10">
        <f t="shared" si="4"/>
        <v>0.73139299999999996</v>
      </c>
      <c r="E19" s="198">
        <f>IF(B19&lt;=$C$2,1,IF(B19=$C$2+1,PRODUCT($D$5:D19),E18*D19))</f>
        <v>7.2864157314809844E-2</v>
      </c>
      <c r="F19" s="10">
        <f t="shared" si="0"/>
        <v>0.55526450271327477</v>
      </c>
      <c r="G19" s="10">
        <f t="shared" si="5"/>
        <v>4.0458880077029712E-2</v>
      </c>
      <c r="I19" s="13">
        <f t="shared" si="1"/>
        <v>364.32078657404924</v>
      </c>
      <c r="J19" s="11">
        <f>(SUM(G20:$G$79)*$I$1)</f>
        <v>375.26277438850883</v>
      </c>
      <c r="K19" s="11">
        <f t="shared" si="6"/>
        <v>-202.29440038514855</v>
      </c>
      <c r="Q19" s="65">
        <v>15</v>
      </c>
      <c r="R19" s="66">
        <f>Inputs!H22</f>
        <v>2.5399999999999999E-4</v>
      </c>
    </row>
    <row r="20" spans="1:18" x14ac:dyDescent="0.25">
      <c r="A20">
        <f t="shared" si="2"/>
        <v>101</v>
      </c>
      <c r="B20">
        <v>16</v>
      </c>
      <c r="C20" s="12">
        <f t="shared" si="3"/>
        <v>0.290016</v>
      </c>
      <c r="D20" s="10">
        <f t="shared" si="4"/>
        <v>0.70998399999999995</v>
      </c>
      <c r="E20" s="198">
        <f>IF(B20&lt;=$C$2,1,IF(B20=$C$2+1,PRODUCT($D$5:D20),E19*D20))</f>
        <v>5.1732385866997951E-2</v>
      </c>
      <c r="F20" s="10">
        <f t="shared" si="0"/>
        <v>0.53390817568584104</v>
      </c>
      <c r="G20" s="10">
        <f t="shared" si="5"/>
        <v>2.7620343762124862E-2</v>
      </c>
      <c r="I20" s="13">
        <f t="shared" si="1"/>
        <v>258.66192933498974</v>
      </c>
      <c r="J20" s="11">
        <f>(SUM(G21:$G$79)*$I$1)</f>
        <v>237.16105557788475</v>
      </c>
      <c r="K20" s="11">
        <f t="shared" si="6"/>
        <v>-138.10171881062408</v>
      </c>
      <c r="Q20" s="65">
        <v>16</v>
      </c>
      <c r="R20" s="66">
        <f>Inputs!H23</f>
        <v>2.9300000000000002E-4</v>
      </c>
    </row>
    <row r="21" spans="1:18" x14ac:dyDescent="0.25">
      <c r="A21">
        <f t="shared" si="2"/>
        <v>102</v>
      </c>
      <c r="B21">
        <v>17</v>
      </c>
      <c r="C21" s="12">
        <f t="shared" si="3"/>
        <v>0.31184899999999999</v>
      </c>
      <c r="D21" s="10">
        <f t="shared" si="4"/>
        <v>0.68815099999999996</v>
      </c>
      <c r="E21" s="198">
        <f>IF(B21&lt;=$C$2,1,IF(B21=$C$2+1,PRODUCT($D$5:D21),E20*D21))</f>
        <v>3.5599693066760502E-2</v>
      </c>
      <c r="F21" s="10">
        <f t="shared" si="0"/>
        <v>0.51337324585177024</v>
      </c>
      <c r="G21" s="10">
        <f t="shared" si="5"/>
        <v>1.82759299810096E-2</v>
      </c>
      <c r="I21" s="13">
        <f t="shared" si="1"/>
        <v>177.9984653338025</v>
      </c>
      <c r="J21" s="11">
        <f>(SUM(G22:$G$79)*$I$1)</f>
        <v>145.78140567283668</v>
      </c>
      <c r="K21" s="11">
        <f t="shared" si="6"/>
        <v>-91.379649905048069</v>
      </c>
      <c r="Q21" s="65">
        <v>17</v>
      </c>
      <c r="R21" s="66">
        <f>Inputs!H24</f>
        <v>3.28E-4</v>
      </c>
    </row>
    <row r="22" spans="1:18" x14ac:dyDescent="0.25">
      <c r="A22">
        <f t="shared" si="2"/>
        <v>103</v>
      </c>
      <c r="B22">
        <v>18</v>
      </c>
      <c r="C22" s="12">
        <f t="shared" si="3"/>
        <v>0.33396199999999998</v>
      </c>
      <c r="D22" s="10">
        <f t="shared" si="4"/>
        <v>0.66603800000000002</v>
      </c>
      <c r="E22" s="198">
        <f>IF(B22&lt;=$C$2,1,IF(B22=$C$2+1,PRODUCT($D$5:D22),E21*D22))</f>
        <v>2.3710748370799031E-2</v>
      </c>
      <c r="F22" s="10">
        <f t="shared" si="0"/>
        <v>0.49362812101131748</v>
      </c>
      <c r="G22" s="10">
        <f t="shared" si="5"/>
        <v>1.1704292166049683E-2</v>
      </c>
      <c r="I22" s="13">
        <f t="shared" si="1"/>
        <v>118.55374185399515</v>
      </c>
      <c r="J22" s="11">
        <f>(SUM(G23:$G$79)*$I$1)</f>
        <v>87.259944842588283</v>
      </c>
      <c r="K22" s="11">
        <f t="shared" si="6"/>
        <v>-58.521460830248401</v>
      </c>
      <c r="Q22" s="65">
        <v>18</v>
      </c>
      <c r="R22" s="66">
        <f>Inputs!H25</f>
        <v>3.59E-4</v>
      </c>
    </row>
    <row r="23" spans="1:18" x14ac:dyDescent="0.25">
      <c r="A23">
        <f t="shared" si="2"/>
        <v>104</v>
      </c>
      <c r="B23">
        <v>19</v>
      </c>
      <c r="C23" s="12">
        <f t="shared" si="3"/>
        <v>0.356207</v>
      </c>
      <c r="D23" s="10">
        <f t="shared" si="4"/>
        <v>0.64379300000000006</v>
      </c>
      <c r="E23" s="198">
        <f>IF(B23&lt;=$C$2,1,IF(B23=$C$2+1,PRODUCT($D$5:D23),E22*D23))</f>
        <v>1.5264813825881822E-2</v>
      </c>
      <c r="F23" s="10">
        <f t="shared" si="0"/>
        <v>0.47464242404934376</v>
      </c>
      <c r="G23" s="10">
        <f t="shared" si="5"/>
        <v>7.2453282369784851E-3</v>
      </c>
      <c r="I23" s="13">
        <f t="shared" si="1"/>
        <v>76.324069129409111</v>
      </c>
      <c r="J23" s="11">
        <f>(SUM(G24:$G$79)*$I$1)</f>
        <v>51.033303657695846</v>
      </c>
      <c r="K23" s="11">
        <f t="shared" si="6"/>
        <v>-36.226641184892436</v>
      </c>
      <c r="Q23" s="65">
        <v>19</v>
      </c>
      <c r="R23" s="66">
        <f>Inputs!H26</f>
        <v>3.8699999999999997E-4</v>
      </c>
    </row>
    <row r="24" spans="1:18" x14ac:dyDescent="0.25">
      <c r="A24">
        <f t="shared" si="2"/>
        <v>105</v>
      </c>
      <c r="B24">
        <v>20</v>
      </c>
      <c r="C24" s="12">
        <f t="shared" si="3"/>
        <v>0.38</v>
      </c>
      <c r="D24" s="10">
        <f t="shared" si="4"/>
        <v>0.62</v>
      </c>
      <c r="E24" s="198">
        <f>IF(B24&lt;=$C$2,1,IF(B24=$C$2+1,PRODUCT($D$5:D24),E23*D24))</f>
        <v>9.4641845720467299E-3</v>
      </c>
      <c r="F24" s="10">
        <f t="shared" si="0"/>
        <v>0.45638694620129205</v>
      </c>
      <c r="G24" s="10">
        <f t="shared" si="5"/>
        <v>4.3193302951217896E-3</v>
      </c>
      <c r="I24" s="13">
        <f t="shared" si="1"/>
        <v>47.320922860233651</v>
      </c>
      <c r="J24" s="11">
        <f>(SUM(G25:$G$79)*$I$1)</f>
        <v>29.436652182086902</v>
      </c>
      <c r="K24" s="11">
        <f t="shared" si="6"/>
        <v>-21.596651475608944</v>
      </c>
      <c r="Q24" s="65">
        <v>20</v>
      </c>
      <c r="R24" s="66">
        <f>Inputs!H27</f>
        <v>4.1399999999999998E-4</v>
      </c>
    </row>
    <row r="25" spans="1:18" x14ac:dyDescent="0.25">
      <c r="A25">
        <f t="shared" si="2"/>
        <v>106</v>
      </c>
      <c r="B25">
        <v>21</v>
      </c>
      <c r="C25" s="12">
        <f t="shared" si="3"/>
        <v>0.4</v>
      </c>
      <c r="D25" s="10">
        <f t="shared" si="4"/>
        <v>0.6</v>
      </c>
      <c r="E25" s="198">
        <f>IF(B25&lt;=$C$2,1,IF(B25=$C$2+1,PRODUCT($D$5:D25),E24*D25))</f>
        <v>5.6785107432280376E-3</v>
      </c>
      <c r="F25" s="10">
        <f t="shared" si="0"/>
        <v>0.43883360211662686</v>
      </c>
      <c r="G25" s="10">
        <f t="shared" si="5"/>
        <v>2.4919213241087236E-3</v>
      </c>
      <c r="I25" s="13">
        <f t="shared" si="1"/>
        <v>28.392553716140188</v>
      </c>
      <c r="J25" s="11">
        <f>(SUM(G26:$G$79)*$I$1)</f>
        <v>16.977045561543285</v>
      </c>
      <c r="K25" s="11">
        <f t="shared" si="6"/>
        <v>-12.459606620543617</v>
      </c>
      <c r="Q25" s="65">
        <v>21</v>
      </c>
      <c r="R25" s="66">
        <f>Inputs!H28</f>
        <v>4.4299999999999998E-4</v>
      </c>
    </row>
    <row r="26" spans="1:18" x14ac:dyDescent="0.25">
      <c r="A26">
        <f t="shared" si="2"/>
        <v>107</v>
      </c>
      <c r="B26">
        <v>22</v>
      </c>
      <c r="C26" s="12">
        <f t="shared" si="3"/>
        <v>0.4</v>
      </c>
      <c r="D26" s="10">
        <f t="shared" si="4"/>
        <v>0.6</v>
      </c>
      <c r="E26" s="198">
        <f>IF(B26&lt;=$C$2,1,IF(B26=$C$2+1,PRODUCT($D$5:D26),E25*D26))</f>
        <v>3.4071064459368226E-3</v>
      </c>
      <c r="F26" s="10">
        <f t="shared" si="0"/>
        <v>0.42195538665060278</v>
      </c>
      <c r="G26" s="10">
        <f t="shared" si="5"/>
        <v>1.4376469177550331E-3</v>
      </c>
      <c r="I26" s="13">
        <f t="shared" si="1"/>
        <v>17.035532229684112</v>
      </c>
      <c r="J26" s="11">
        <f>(SUM(G27:$G$79)*$I$1)</f>
        <v>9.7888109727681183</v>
      </c>
      <c r="K26" s="11">
        <f t="shared" si="6"/>
        <v>-7.1882345887751669</v>
      </c>
      <c r="Q26" s="65">
        <v>22</v>
      </c>
      <c r="R26" s="66">
        <f>Inputs!H29</f>
        <v>4.73E-4</v>
      </c>
    </row>
    <row r="27" spans="1:18" x14ac:dyDescent="0.25">
      <c r="A27">
        <f t="shared" si="2"/>
        <v>108</v>
      </c>
      <c r="B27">
        <v>23</v>
      </c>
      <c r="C27" s="12">
        <f t="shared" si="3"/>
        <v>0.4</v>
      </c>
      <c r="D27" s="10">
        <f t="shared" si="4"/>
        <v>0.6</v>
      </c>
      <c r="E27" s="198">
        <f>IF(B27&lt;=$C$2,1,IF(B27=$C$2+1,PRODUCT($D$5:D27),E26*D27))</f>
        <v>2.0442638675620935E-3</v>
      </c>
      <c r="F27" s="10">
        <f t="shared" si="0"/>
        <v>0.40572633331788732</v>
      </c>
      <c r="G27" s="10">
        <f t="shared" si="5"/>
        <v>8.2941168332021145E-4</v>
      </c>
      <c r="I27" s="13">
        <f t="shared" si="1"/>
        <v>10.221319337810467</v>
      </c>
      <c r="J27" s="11">
        <f>(SUM(G28:$G$79)*$I$1)</f>
        <v>5.6417525561670621</v>
      </c>
      <c r="K27" s="11">
        <f t="shared" si="6"/>
        <v>-4.1470584166010562</v>
      </c>
      <c r="Q27" s="65">
        <v>23</v>
      </c>
      <c r="R27" s="66">
        <f>Inputs!H30</f>
        <v>5.13E-4</v>
      </c>
    </row>
    <row r="28" spans="1:18" x14ac:dyDescent="0.25">
      <c r="A28">
        <f t="shared" si="2"/>
        <v>109</v>
      </c>
      <c r="B28">
        <v>24</v>
      </c>
      <c r="C28" s="12">
        <f t="shared" si="3"/>
        <v>0.4</v>
      </c>
      <c r="D28" s="10">
        <f t="shared" si="4"/>
        <v>0.6</v>
      </c>
      <c r="E28" s="198">
        <f>IF(B28&lt;=$C$2,1,IF(B28=$C$2+1,PRODUCT($D$5:D28),E27*D28))</f>
        <v>1.226558320537256E-3</v>
      </c>
      <c r="F28" s="10">
        <f t="shared" si="0"/>
        <v>0.39012147434412242</v>
      </c>
      <c r="G28" s="10">
        <f t="shared" si="5"/>
        <v>4.7850674037704501E-4</v>
      </c>
      <c r="I28" s="13">
        <f t="shared" si="1"/>
        <v>6.1327916026862797</v>
      </c>
      <c r="J28" s="11">
        <f>(SUM(G29:$G$79)*$I$1)</f>
        <v>3.2492188542818363</v>
      </c>
      <c r="K28" s="11">
        <f t="shared" si="6"/>
        <v>-2.3925337018852257</v>
      </c>
      <c r="Q28" s="65">
        <v>24</v>
      </c>
      <c r="R28" s="66">
        <f>Inputs!H31</f>
        <v>5.5400000000000002E-4</v>
      </c>
    </row>
    <row r="29" spans="1:18" x14ac:dyDescent="0.25">
      <c r="A29">
        <f t="shared" si="2"/>
        <v>110</v>
      </c>
      <c r="B29">
        <v>25</v>
      </c>
      <c r="C29" s="12">
        <f t="shared" si="3"/>
        <v>0.4</v>
      </c>
      <c r="D29" s="10">
        <f t="shared" si="4"/>
        <v>0.6</v>
      </c>
      <c r="E29" s="198">
        <f>IF(B29&lt;=$C$2,1,IF(B29=$C$2+1,PRODUCT($D$5:D29),E28*D29))</f>
        <v>7.3593499232235357E-4</v>
      </c>
      <c r="F29" s="10">
        <f t="shared" si="0"/>
        <v>0.37511680225396377</v>
      </c>
      <c r="G29" s="10">
        <f t="shared" si="5"/>
        <v>2.7606158098675667E-4</v>
      </c>
      <c r="I29" s="13">
        <f t="shared" si="1"/>
        <v>3.6796749616117679</v>
      </c>
      <c r="J29" s="11">
        <f>(SUM(G30:$G$79)*$I$1)</f>
        <v>1.8689109493480531</v>
      </c>
      <c r="K29" s="11">
        <f t="shared" si="6"/>
        <v>-1.3803079049337832</v>
      </c>
      <c r="Q29" s="65">
        <v>25</v>
      </c>
      <c r="R29" s="66">
        <f>Inputs!H32</f>
        <v>6.02E-4</v>
      </c>
    </row>
    <row r="30" spans="1:18" x14ac:dyDescent="0.25">
      <c r="A30">
        <f t="shared" si="2"/>
        <v>111</v>
      </c>
      <c r="B30">
        <v>26</v>
      </c>
      <c r="C30" s="12">
        <f t="shared" si="3"/>
        <v>0.4</v>
      </c>
      <c r="D30" s="10">
        <f t="shared" si="4"/>
        <v>0.6</v>
      </c>
      <c r="E30" s="198">
        <f>IF(B30&lt;=$C$2,1,IF(B30=$C$2+1,PRODUCT($D$5:D30),E29*D30))</f>
        <v>4.4156099539341214E-4</v>
      </c>
      <c r="F30" s="10">
        <f t="shared" si="0"/>
        <v>0.36068923293650368</v>
      </c>
      <c r="G30" s="10">
        <f t="shared" si="5"/>
        <v>1.5926629672312887E-4</v>
      </c>
      <c r="I30" s="13">
        <f t="shared" si="1"/>
        <v>2.2078049769670609</v>
      </c>
      <c r="J30" s="11">
        <f>(SUM(G31:$G$79)*$I$1)</f>
        <v>1.0725794657324088</v>
      </c>
      <c r="K30" s="11">
        <f t="shared" si="6"/>
        <v>-0.79633148361564432</v>
      </c>
      <c r="Q30" s="65">
        <v>26</v>
      </c>
      <c r="R30" s="66">
        <f>Inputs!H33</f>
        <v>6.5499999999999998E-4</v>
      </c>
    </row>
    <row r="31" spans="1:18" x14ac:dyDescent="0.25">
      <c r="A31">
        <f t="shared" si="2"/>
        <v>112</v>
      </c>
      <c r="B31">
        <v>27</v>
      </c>
      <c r="C31" s="12">
        <f t="shared" si="3"/>
        <v>0.4</v>
      </c>
      <c r="D31" s="10">
        <f t="shared" si="4"/>
        <v>0.6</v>
      </c>
      <c r="E31" s="198">
        <f>IF(B31&lt;=$C$2,1,IF(B31=$C$2+1,PRODUCT($D$5:D31),E30*D31))</f>
        <v>2.6493659723604725E-4</v>
      </c>
      <c r="F31" s="10">
        <f t="shared" si="0"/>
        <v>0.3468165701312535</v>
      </c>
      <c r="G31" s="10">
        <f t="shared" si="5"/>
        <v>9.1884401955651248E-5</v>
      </c>
      <c r="I31" s="13">
        <f t="shared" si="1"/>
        <v>1.3246829861802363</v>
      </c>
      <c r="J31" s="11">
        <f>(SUM(G32:$G$79)*$I$1)</f>
        <v>0.61315745595415272</v>
      </c>
      <c r="K31" s="11">
        <f t="shared" si="6"/>
        <v>-0.45942200977825609</v>
      </c>
      <c r="Q31" s="65">
        <v>27</v>
      </c>
      <c r="R31" s="66">
        <f>Inputs!H34</f>
        <v>6.8800000000000003E-4</v>
      </c>
    </row>
    <row r="32" spans="1:18" x14ac:dyDescent="0.25">
      <c r="A32">
        <f t="shared" si="2"/>
        <v>113</v>
      </c>
      <c r="B32">
        <v>28</v>
      </c>
      <c r="C32" s="12">
        <f t="shared" si="3"/>
        <v>0.4</v>
      </c>
      <c r="D32" s="10">
        <f t="shared" si="4"/>
        <v>0.6</v>
      </c>
      <c r="E32" s="198">
        <f>IF(B32&lt;=$C$2,1,IF(B32=$C$2+1,PRODUCT($D$5:D32),E31*D32))</f>
        <v>1.5896195834162836E-4</v>
      </c>
      <c r="F32" s="10">
        <f t="shared" si="0"/>
        <v>0.3334774712800514</v>
      </c>
      <c r="G32" s="10">
        <f t="shared" si="5"/>
        <v>5.3010231897491094E-5</v>
      </c>
      <c r="I32" s="13">
        <f t="shared" si="1"/>
        <v>0.79480979170814181</v>
      </c>
      <c r="J32" s="11">
        <f>(SUM(G33:$G$79)*$I$1)</f>
        <v>0.34810629646669722</v>
      </c>
      <c r="K32" s="11">
        <f t="shared" si="6"/>
        <v>-0.2650511594874555</v>
      </c>
      <c r="Q32" s="65">
        <v>28</v>
      </c>
      <c r="R32" s="66">
        <f>Inputs!H35</f>
        <v>7.1000000000000002E-4</v>
      </c>
    </row>
    <row r="33" spans="1:18" x14ac:dyDescent="0.25">
      <c r="A33">
        <f t="shared" si="2"/>
        <v>114</v>
      </c>
      <c r="B33">
        <v>29</v>
      </c>
      <c r="C33" s="12">
        <f t="shared" si="3"/>
        <v>0.4</v>
      </c>
      <c r="D33" s="10">
        <f t="shared" si="4"/>
        <v>0.6</v>
      </c>
      <c r="E33" s="198">
        <f>IF(B33&lt;=$C$2,1,IF(B33=$C$2+1,PRODUCT($D$5:D33),E32*D33))</f>
        <v>9.5377175004977014E-5</v>
      </c>
      <c r="F33" s="10">
        <f t="shared" si="0"/>
        <v>0.32065141469235708</v>
      </c>
      <c r="G33" s="10">
        <f t="shared" si="5"/>
        <v>3.0582826094706401E-5</v>
      </c>
      <c r="I33" s="13">
        <f t="shared" si="1"/>
        <v>0.47688587502488505</v>
      </c>
      <c r="J33" s="11">
        <f>(SUM(G34:$G$79)*$I$1)</f>
        <v>0.19519216599316516</v>
      </c>
      <c r="K33" s="11">
        <f t="shared" si="6"/>
        <v>-0.15291413047353206</v>
      </c>
      <c r="Q33" s="65">
        <v>29</v>
      </c>
      <c r="R33" s="66">
        <f>Inputs!H36</f>
        <v>7.27E-4</v>
      </c>
    </row>
    <row r="34" spans="1:18" x14ac:dyDescent="0.25">
      <c r="A34">
        <f t="shared" si="2"/>
        <v>115</v>
      </c>
      <c r="B34">
        <v>30</v>
      </c>
      <c r="C34" s="12">
        <f t="shared" si="3"/>
        <v>0.4</v>
      </c>
      <c r="D34" s="10">
        <f t="shared" si="4"/>
        <v>0.6</v>
      </c>
      <c r="E34" s="198">
        <f>IF(B34&lt;=$C$2,1,IF(B34=$C$2+1,PRODUCT($D$5:D34),E33*D34))</f>
        <v>5.7226305002986203E-5</v>
      </c>
      <c r="F34" s="10">
        <f t="shared" si="0"/>
        <v>0.30831866797342034</v>
      </c>
      <c r="G34" s="10">
        <f t="shared" si="5"/>
        <v>1.7643938131561387E-5</v>
      </c>
      <c r="I34" s="13">
        <f t="shared" si="1"/>
        <v>0.286131525014931</v>
      </c>
      <c r="J34" s="11">
        <f>(SUM(G35:$G$79)*$I$1)</f>
        <v>0.10697247533535828</v>
      </c>
      <c r="K34" s="11">
        <f t="shared" si="6"/>
        <v>-8.8219690657806882E-2</v>
      </c>
      <c r="Q34" s="65">
        <v>30</v>
      </c>
      <c r="R34" s="66">
        <f>Inputs!H37</f>
        <v>7.4100000000000001E-4</v>
      </c>
    </row>
    <row r="35" spans="1:18" x14ac:dyDescent="0.25">
      <c r="A35">
        <f t="shared" si="2"/>
        <v>116</v>
      </c>
      <c r="B35">
        <v>31</v>
      </c>
      <c r="C35" s="12">
        <f t="shared" si="3"/>
        <v>0.4</v>
      </c>
      <c r="D35" s="10">
        <f t="shared" si="4"/>
        <v>0.6</v>
      </c>
      <c r="E35" s="198">
        <f>IF(B35&lt;=$C$2,1,IF(B35=$C$2+1,PRODUCT($D$5:D35),E34*D35))</f>
        <v>3.4335783001791723E-5</v>
      </c>
      <c r="F35" s="10">
        <f t="shared" si="0"/>
        <v>0.29646025766675027</v>
      </c>
      <c r="G35" s="10">
        <f t="shared" si="5"/>
        <v>1.0179195075900798E-5</v>
      </c>
      <c r="I35" s="13">
        <f t="shared" si="1"/>
        <v>0.17167891500895863</v>
      </c>
      <c r="J35" s="11">
        <f>(SUM(G36:$G$79)*$I$1)</f>
        <v>5.6076499955854273E-2</v>
      </c>
      <c r="K35" s="11">
        <f t="shared" si="6"/>
        <v>-5.0895975379504008E-2</v>
      </c>
      <c r="Q35" s="65">
        <v>31</v>
      </c>
      <c r="R35" s="66">
        <f>Inputs!H38</f>
        <v>7.5100000000000004E-4</v>
      </c>
    </row>
    <row r="36" spans="1:18" x14ac:dyDescent="0.25">
      <c r="A36">
        <f t="shared" si="2"/>
        <v>117</v>
      </c>
      <c r="B36">
        <v>32</v>
      </c>
      <c r="C36" s="12">
        <f t="shared" si="3"/>
        <v>0.4</v>
      </c>
      <c r="D36" s="10">
        <f t="shared" si="4"/>
        <v>0.6</v>
      </c>
      <c r="E36" s="198">
        <f>IF(B36&lt;=$C$2,1,IF(B36=$C$2+1,PRODUCT($D$5:D36),E35*D36))</f>
        <v>2.0601469801075034E-5</v>
      </c>
      <c r="F36" s="10">
        <f t="shared" si="0"/>
        <v>0.28505794006418295</v>
      </c>
      <c r="G36" s="10">
        <f t="shared" si="5"/>
        <v>5.872612543788922E-6</v>
      </c>
      <c r="I36" s="13">
        <f t="shared" si="1"/>
        <v>0.10300734900537517</v>
      </c>
      <c r="J36" s="11">
        <f>(SUM(G37:$G$79)*$I$1)</f>
        <v>2.6713437236909669E-2</v>
      </c>
      <c r="K36" s="11">
        <f t="shared" si="6"/>
        <v>-2.9363062718944604E-2</v>
      </c>
      <c r="Q36" s="65">
        <v>32</v>
      </c>
      <c r="R36" s="66">
        <f>Inputs!H39</f>
        <v>7.54E-4</v>
      </c>
    </row>
    <row r="37" spans="1:18" x14ac:dyDescent="0.25">
      <c r="A37">
        <f t="shared" si="2"/>
        <v>118</v>
      </c>
      <c r="B37">
        <v>33</v>
      </c>
      <c r="C37" s="12">
        <f t="shared" si="3"/>
        <v>0.4</v>
      </c>
      <c r="D37" s="10">
        <f t="shared" si="4"/>
        <v>0.6</v>
      </c>
      <c r="E37" s="198">
        <f>IF(B37&lt;=$C$2,1,IF(B37=$C$2+1,PRODUCT($D$5:D37),E36*D37))</f>
        <v>1.2360881880645021E-5</v>
      </c>
      <c r="F37" s="10">
        <f t="shared" si="0"/>
        <v>0.27409417313863743</v>
      </c>
      <c r="G37" s="10">
        <f t="shared" si="5"/>
        <v>3.3880456983397627E-6</v>
      </c>
      <c r="I37" s="13">
        <f t="shared" si="1"/>
        <v>6.1804409403225104E-2</v>
      </c>
      <c r="J37" s="11">
        <f>(SUM(G38:$G$79)*$I$1)</f>
        <v>9.7732087452108516E-3</v>
      </c>
      <c r="K37" s="11">
        <f t="shared" si="6"/>
        <v>-1.6940228491698815E-2</v>
      </c>
      <c r="Q37" s="65">
        <v>33</v>
      </c>
      <c r="R37" s="66">
        <f>Inputs!H40</f>
        <v>7.5600000000000005E-4</v>
      </c>
    </row>
    <row r="38" spans="1:18" x14ac:dyDescent="0.25">
      <c r="A38">
        <f t="shared" si="2"/>
        <v>119</v>
      </c>
      <c r="B38">
        <v>34</v>
      </c>
      <c r="C38" s="12">
        <f t="shared" si="3"/>
        <v>0.4</v>
      </c>
      <c r="D38" s="10">
        <f t="shared" si="4"/>
        <v>0.6</v>
      </c>
      <c r="E38" s="198">
        <f>IF(B38&lt;=$C$2,1,IF(B38=$C$2+1,PRODUCT($D$5:D38),E37*D38))</f>
        <v>7.4165291283870117E-6</v>
      </c>
      <c r="F38" s="10">
        <f t="shared" si="0"/>
        <v>0.26355208955638215</v>
      </c>
      <c r="G38" s="10">
        <f t="shared" si="5"/>
        <v>1.9546417490421704E-6</v>
      </c>
      <c r="I38" s="13">
        <f t="shared" si="1"/>
        <v>3.7082645641935058E-2</v>
      </c>
      <c r="J38" s="11">
        <f>(SUM(G39:$G$79)*$I$1)</f>
        <v>0</v>
      </c>
      <c r="K38" s="11">
        <f t="shared" si="6"/>
        <v>-9.7732087452108516E-3</v>
      </c>
      <c r="Q38" s="65">
        <v>34</v>
      </c>
      <c r="R38" s="66">
        <f>Inputs!H41</f>
        <v>7.5600000000000005E-4</v>
      </c>
    </row>
    <row r="39" spans="1:18" x14ac:dyDescent="0.25">
      <c r="A39">
        <f t="shared" si="2"/>
        <v>120</v>
      </c>
      <c r="B39">
        <v>35</v>
      </c>
      <c r="C39" s="12">
        <f t="shared" si="3"/>
        <v>1</v>
      </c>
      <c r="D39" s="10">
        <f t="shared" si="4"/>
        <v>0</v>
      </c>
      <c r="E39" s="198">
        <f>IF(B39&lt;=$C$2,1,IF(B39=$C$2+1,PRODUCT($D$5:D39),E38*D39))</f>
        <v>0</v>
      </c>
      <c r="F39" s="10">
        <f t="shared" si="0"/>
        <v>0</v>
      </c>
      <c r="G39" s="10">
        <f t="shared" si="5"/>
        <v>0</v>
      </c>
      <c r="I39" s="13">
        <f t="shared" si="1"/>
        <v>0</v>
      </c>
      <c r="J39" s="11">
        <f>(SUM(G40:$G$79)*$I$1)</f>
        <v>0</v>
      </c>
      <c r="K39" s="11">
        <f t="shared" si="6"/>
        <v>0</v>
      </c>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9">
    <cfRule type="cellIs" dxfId="13"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97"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151</v>
      </c>
      <c r="I1" s="3">
        <v>5000</v>
      </c>
      <c r="J1" s="181" t="s">
        <v>173</v>
      </c>
      <c r="L1" s="1"/>
      <c r="M1" s="4"/>
      <c r="N1" s="4"/>
      <c r="O1" s="4"/>
      <c r="P1" s="4"/>
      <c r="Q1" s="64"/>
      <c r="R1" s="28"/>
    </row>
    <row r="2" spans="1:18" ht="15.75" customHeight="1" thickBot="1" x14ac:dyDescent="0.3">
      <c r="B2" t="s">
        <v>227</v>
      </c>
      <c r="C2">
        <v>15</v>
      </c>
      <c r="F2" s="5">
        <f>'Asset and Liability Durations'!N29</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7.3411615219629933</v>
      </c>
      <c r="N3" s="10"/>
      <c r="O3" s="10"/>
      <c r="P3" s="10"/>
      <c r="Q3" s="31"/>
      <c r="R3" s="32"/>
    </row>
    <row r="4" spans="1:18" x14ac:dyDescent="0.25">
      <c r="A4">
        <v>85</v>
      </c>
      <c r="B4">
        <v>0</v>
      </c>
      <c r="C4" s="8"/>
      <c r="D4" s="7"/>
      <c r="E4" s="7"/>
      <c r="F4" s="7"/>
      <c r="G4" s="10">
        <v>1</v>
      </c>
      <c r="J4" s="11">
        <f>(SUM(G5:$G$79)*$I$1)</f>
        <v>55967.199935229124</v>
      </c>
      <c r="Q4" s="65">
        <v>0</v>
      </c>
      <c r="R4" s="66">
        <f>Inputs!H7</f>
        <v>1.6050000000000001E-3</v>
      </c>
    </row>
    <row r="5" spans="1:18" ht="15.75" thickBot="1" x14ac:dyDescent="0.3">
      <c r="A5">
        <f>B5+$A$4</f>
        <v>86</v>
      </c>
      <c r="B5">
        <v>1</v>
      </c>
      <c r="C5" s="12">
        <f>VLOOKUP(A5,$Q$4:$R$124,2,FALSE)</f>
        <v>6.7514000000000005E-2</v>
      </c>
      <c r="D5" s="10">
        <f>1-C5</f>
        <v>0.93248600000000004</v>
      </c>
      <c r="E5" s="198">
        <f>IF(B5&lt;=$C$2,1,IF(B5=$C$2+1,PRODUCT($D$5:D5),E4*D5))</f>
        <v>1</v>
      </c>
      <c r="F5" s="10">
        <f t="shared" ref="F5:F39" si="0">IF(D5=0,0,(1+$F$2)^-B5)</f>
        <v>0.96153846153846145</v>
      </c>
      <c r="G5" s="10">
        <f>F5*E5</f>
        <v>0.96153846153846145</v>
      </c>
      <c r="I5" s="13">
        <f t="shared" ref="I5:I39" si="1">E5*$I$1</f>
        <v>5000</v>
      </c>
      <c r="J5" s="11">
        <f>(SUM(G6:$G$79)*$I$1)</f>
        <v>51159.507627536805</v>
      </c>
      <c r="K5" s="11">
        <f>J5-J4</f>
        <v>-4807.6923076923194</v>
      </c>
      <c r="L5" s="14" t="s">
        <v>16</v>
      </c>
      <c r="M5" s="14" t="s">
        <v>17</v>
      </c>
      <c r="N5" s="14" t="s">
        <v>18</v>
      </c>
      <c r="O5" s="14" t="s">
        <v>47</v>
      </c>
      <c r="Q5" s="65">
        <v>1</v>
      </c>
      <c r="R5" s="66">
        <f>Inputs!H8</f>
        <v>4.0099999999999999E-4</v>
      </c>
    </row>
    <row r="6" spans="1:18" x14ac:dyDescent="0.25">
      <c r="A6">
        <f t="shared" ref="A6:A39" si="2">B6+$A$4</f>
        <v>87</v>
      </c>
      <c r="B6">
        <v>2</v>
      </c>
      <c r="C6" s="12">
        <f t="shared" ref="C6:C39" si="3">VLOOKUP(A6,$Q$4:$R$124,2,FALSE)</f>
        <v>7.6340000000000005E-2</v>
      </c>
      <c r="D6" s="10">
        <f t="shared" ref="D6:D39" si="4">1-C6</f>
        <v>0.92366000000000004</v>
      </c>
      <c r="E6" s="198">
        <f>IF(B6&lt;=$C$2,1,IF(B6=$C$2+1,PRODUCT($D$5:D6),E5*D6))</f>
        <v>1</v>
      </c>
      <c r="F6" s="10">
        <f t="shared" si="0"/>
        <v>0.92455621301775137</v>
      </c>
      <c r="G6" s="10">
        <f t="shared" ref="G6:G39" si="5">F6*E6</f>
        <v>0.92455621301775137</v>
      </c>
      <c r="I6" s="13">
        <f t="shared" si="1"/>
        <v>5000</v>
      </c>
      <c r="J6" s="11">
        <f>(SUM(G7:$G$79)*$I$1)</f>
        <v>46536.726562448042</v>
      </c>
      <c r="K6" s="11">
        <f t="shared" ref="K6:K39" si="6">J6-J5</f>
        <v>-4622.7810650887623</v>
      </c>
      <c r="L6" s="14">
        <v>2</v>
      </c>
      <c r="M6" s="54" t="s">
        <v>44</v>
      </c>
      <c r="N6" s="15">
        <f>SUM(I5:I7)</f>
        <v>15000</v>
      </c>
      <c r="O6" s="16">
        <f>N6/SUM($N$6:$N$9)</f>
        <v>0.1980203643087973</v>
      </c>
      <c r="Q6" s="65">
        <v>2</v>
      </c>
      <c r="R6" s="66">
        <f>Inputs!H9</f>
        <v>2.7500000000000002E-4</v>
      </c>
    </row>
    <row r="7" spans="1:18" x14ac:dyDescent="0.25">
      <c r="A7">
        <f t="shared" si="2"/>
        <v>88</v>
      </c>
      <c r="B7">
        <v>3</v>
      </c>
      <c r="C7" s="12">
        <f t="shared" si="3"/>
        <v>8.6388000000000006E-2</v>
      </c>
      <c r="D7" s="10">
        <f t="shared" si="4"/>
        <v>0.91361199999999998</v>
      </c>
      <c r="E7" s="198">
        <f>IF(B7&lt;=$C$2,1,IF(B7=$C$2+1,PRODUCT($D$5:D7),E6*D7))</f>
        <v>1</v>
      </c>
      <c r="F7" s="10">
        <f t="shared" si="0"/>
        <v>0.88899635867091487</v>
      </c>
      <c r="G7" s="10">
        <f t="shared" si="5"/>
        <v>0.88899635867091487</v>
      </c>
      <c r="I7" s="13">
        <f t="shared" si="1"/>
        <v>5000</v>
      </c>
      <c r="J7" s="11">
        <f>(SUM(G8:$G$79)*$I$1)</f>
        <v>42091.744769093464</v>
      </c>
      <c r="K7" s="11">
        <f t="shared" si="6"/>
        <v>-4444.9817933545783</v>
      </c>
      <c r="L7" s="14">
        <v>5</v>
      </c>
      <c r="M7" s="19" t="s">
        <v>45</v>
      </c>
      <c r="N7" s="17">
        <f>SUM(I8:I11)</f>
        <v>20000</v>
      </c>
      <c r="O7" s="18">
        <f>N7/SUM($N$6:$N$9)</f>
        <v>0.26402715241172975</v>
      </c>
      <c r="Q7" s="65">
        <v>3</v>
      </c>
      <c r="R7" s="66">
        <f>Inputs!H10</f>
        <v>2.2900000000000001E-4</v>
      </c>
    </row>
    <row r="8" spans="1:18" x14ac:dyDescent="0.25">
      <c r="A8">
        <f t="shared" si="2"/>
        <v>89</v>
      </c>
      <c r="B8">
        <v>4</v>
      </c>
      <c r="C8" s="12">
        <f t="shared" si="3"/>
        <v>9.7633999999999999E-2</v>
      </c>
      <c r="D8" s="10">
        <f t="shared" si="4"/>
        <v>0.902366</v>
      </c>
      <c r="E8" s="198">
        <f>IF(B8&lt;=$C$2,1,IF(B8=$C$2+1,PRODUCT($D$5:D8),E7*D8))</f>
        <v>1</v>
      </c>
      <c r="F8" s="10">
        <f t="shared" si="0"/>
        <v>0.85480419102972571</v>
      </c>
      <c r="G8" s="10">
        <f>F8*E8</f>
        <v>0.85480419102972571</v>
      </c>
      <c r="I8" s="13">
        <f t="shared" si="1"/>
        <v>5000</v>
      </c>
      <c r="J8" s="11">
        <f>(SUM(G9:$G$79)*$I$1)</f>
        <v>37817.723813944831</v>
      </c>
      <c r="K8" s="11">
        <f t="shared" si="6"/>
        <v>-4274.0209551486332</v>
      </c>
      <c r="L8" s="14">
        <v>10</v>
      </c>
      <c r="M8" s="19" t="s">
        <v>46</v>
      </c>
      <c r="N8" s="17">
        <f>SUM(I12:I19)</f>
        <v>40000</v>
      </c>
      <c r="O8" s="18">
        <f>N8/SUM($N$6:$N$9)</f>
        <v>0.5280543048234595</v>
      </c>
      <c r="Q8" s="65">
        <v>4</v>
      </c>
      <c r="R8" s="66">
        <f>Inputs!H11</f>
        <v>1.74E-4</v>
      </c>
    </row>
    <row r="9" spans="1:18" ht="15.75" thickBot="1" x14ac:dyDescent="0.3">
      <c r="A9">
        <f t="shared" si="2"/>
        <v>90</v>
      </c>
      <c r="B9">
        <v>5</v>
      </c>
      <c r="C9" s="12">
        <f t="shared" si="3"/>
        <v>0.10999299999999999</v>
      </c>
      <c r="D9" s="10">
        <f t="shared" si="4"/>
        <v>0.89000699999999999</v>
      </c>
      <c r="E9" s="198">
        <f>IF(B9&lt;=$C$2,1,IF(B9=$C$2+1,PRODUCT($D$5:D9),E8*D9))</f>
        <v>1</v>
      </c>
      <c r="F9" s="10">
        <f t="shared" si="0"/>
        <v>0.82192710675935154</v>
      </c>
      <c r="G9" s="10">
        <f t="shared" si="5"/>
        <v>0.82192710675935154</v>
      </c>
      <c r="I9" s="13">
        <f t="shared" si="1"/>
        <v>5000</v>
      </c>
      <c r="J9" s="11">
        <f>(SUM(G10:$G$79)*$I$1)</f>
        <v>33708.088280148069</v>
      </c>
      <c r="K9" s="11">
        <f t="shared" si="6"/>
        <v>-4109.6355337967616</v>
      </c>
      <c r="L9" s="14">
        <v>30</v>
      </c>
      <c r="M9" s="20" t="s">
        <v>48</v>
      </c>
      <c r="N9" s="21">
        <f>SUM(I20:I70)</f>
        <v>749.78488883431783</v>
      </c>
      <c r="O9" s="22">
        <f>N9/SUM($N$6:$N$9)</f>
        <v>9.8981784560135139E-3</v>
      </c>
      <c r="Q9" s="65">
        <v>5</v>
      </c>
      <c r="R9" s="66">
        <f>Inputs!H12</f>
        <v>1.6799999999999999E-4</v>
      </c>
    </row>
    <row r="10" spans="1:18" x14ac:dyDescent="0.25">
      <c r="A10">
        <f t="shared" si="2"/>
        <v>91</v>
      </c>
      <c r="B10">
        <v>6</v>
      </c>
      <c r="C10" s="12">
        <f t="shared" si="3"/>
        <v>0.12311900000000001</v>
      </c>
      <c r="D10" s="10">
        <f t="shared" si="4"/>
        <v>0.87688100000000002</v>
      </c>
      <c r="E10" s="198">
        <f>IF(B10&lt;=$C$2,1,IF(B10=$C$2+1,PRODUCT($D$5:D10),E9*D10))</f>
        <v>1</v>
      </c>
      <c r="F10" s="10">
        <f t="shared" si="0"/>
        <v>0.79031452573014571</v>
      </c>
      <c r="G10" s="10">
        <f t="shared" si="5"/>
        <v>0.79031452573014571</v>
      </c>
      <c r="I10" s="13">
        <f t="shared" si="1"/>
        <v>5000</v>
      </c>
      <c r="J10" s="11">
        <f>(SUM(G11:$G$79)*$I$1)</f>
        <v>29756.515651497346</v>
      </c>
      <c r="K10" s="11">
        <f t="shared" si="6"/>
        <v>-3951.5726286507233</v>
      </c>
      <c r="L10" s="53">
        <f>+SUMPRODUCT(L6:L9,O6:O9)</f>
        <v>7.2936648925912433</v>
      </c>
      <c r="O10" s="23">
        <f>SUM(O6:O9)</f>
        <v>1</v>
      </c>
      <c r="Q10" s="65">
        <v>6</v>
      </c>
      <c r="R10" s="66">
        <f>Inputs!H13</f>
        <v>1.65E-4</v>
      </c>
    </row>
    <row r="11" spans="1:18" x14ac:dyDescent="0.25">
      <c r="A11">
        <f t="shared" si="2"/>
        <v>92</v>
      </c>
      <c r="B11">
        <v>7</v>
      </c>
      <c r="C11" s="12">
        <f t="shared" si="3"/>
        <v>0.13716800000000001</v>
      </c>
      <c r="D11" s="10">
        <f t="shared" si="4"/>
        <v>0.86283200000000004</v>
      </c>
      <c r="E11" s="198">
        <f>IF(B11&lt;=$C$2,1,IF(B11=$C$2+1,PRODUCT($D$5:D11),E10*D11))</f>
        <v>1</v>
      </c>
      <c r="F11" s="10">
        <f t="shared" si="0"/>
        <v>0.75991781320206331</v>
      </c>
      <c r="G11" s="10">
        <f t="shared" si="5"/>
        <v>0.75991781320206331</v>
      </c>
      <c r="I11" s="13">
        <f t="shared" si="1"/>
        <v>5000</v>
      </c>
      <c r="J11" s="11">
        <f>(SUM(G12:$G$79)*$I$1)</f>
        <v>25956.926585487028</v>
      </c>
      <c r="K11" s="11">
        <f t="shared" si="6"/>
        <v>-3799.5890660103178</v>
      </c>
      <c r="Q11" s="65">
        <v>7</v>
      </c>
      <c r="R11" s="66">
        <f>Inputs!H14</f>
        <v>1.5899999999999999E-4</v>
      </c>
    </row>
    <row r="12" spans="1:18" x14ac:dyDescent="0.25">
      <c r="A12">
        <f t="shared" si="2"/>
        <v>93</v>
      </c>
      <c r="B12">
        <v>8</v>
      </c>
      <c r="C12" s="12">
        <f t="shared" si="3"/>
        <v>0.152171</v>
      </c>
      <c r="D12" s="10">
        <f t="shared" si="4"/>
        <v>0.84782899999999994</v>
      </c>
      <c r="E12" s="198">
        <f>IF(B12&lt;=$C$2,1,IF(B12=$C$2+1,PRODUCT($D$5:D12),E11*D12))</f>
        <v>1</v>
      </c>
      <c r="F12" s="10">
        <f t="shared" si="0"/>
        <v>0.73069020500198378</v>
      </c>
      <c r="G12" s="10">
        <f t="shared" si="5"/>
        <v>0.73069020500198378</v>
      </c>
      <c r="I12" s="13">
        <f t="shared" si="1"/>
        <v>5000</v>
      </c>
      <c r="J12" s="11">
        <f>(SUM(G13:$G$79)*$I$1)</f>
        <v>22303.475560477109</v>
      </c>
      <c r="K12" s="11">
        <f t="shared" si="6"/>
        <v>-3653.4510250099192</v>
      </c>
      <c r="Q12" s="65">
        <v>8</v>
      </c>
      <c r="R12" s="66">
        <f>Inputs!H15</f>
        <v>1.4300000000000001E-4</v>
      </c>
    </row>
    <row r="13" spans="1:18" x14ac:dyDescent="0.25">
      <c r="A13">
        <f t="shared" si="2"/>
        <v>94</v>
      </c>
      <c r="B13">
        <v>9</v>
      </c>
      <c r="C13" s="12">
        <f t="shared" si="3"/>
        <v>0.16819400000000001</v>
      </c>
      <c r="D13" s="10">
        <f t="shared" si="4"/>
        <v>0.83180600000000005</v>
      </c>
      <c r="E13" s="198">
        <f>IF(B13&lt;=$C$2,1,IF(B13=$C$2+1,PRODUCT($D$5:D13),E12*D13))</f>
        <v>1</v>
      </c>
      <c r="F13" s="10">
        <f t="shared" si="0"/>
        <v>0.70258673557883045</v>
      </c>
      <c r="G13" s="10">
        <f t="shared" si="5"/>
        <v>0.70258673557883045</v>
      </c>
      <c r="I13" s="13">
        <f t="shared" si="1"/>
        <v>5000</v>
      </c>
      <c r="J13" s="11">
        <f>(SUM(G14:$G$79)*$I$1)</f>
        <v>18790.541882582951</v>
      </c>
      <c r="K13" s="11">
        <f t="shared" si="6"/>
        <v>-3512.9336778941579</v>
      </c>
      <c r="Q13" s="65">
        <v>9</v>
      </c>
      <c r="R13" s="66">
        <f>Inputs!H16</f>
        <v>1.2899999999999999E-4</v>
      </c>
    </row>
    <row r="14" spans="1:18" x14ac:dyDescent="0.25">
      <c r="A14">
        <f t="shared" si="2"/>
        <v>95</v>
      </c>
      <c r="B14">
        <v>10</v>
      </c>
      <c r="C14" s="12">
        <f t="shared" si="3"/>
        <v>0.18526000000000001</v>
      </c>
      <c r="D14" s="10">
        <f t="shared" si="4"/>
        <v>0.81474000000000002</v>
      </c>
      <c r="E14" s="198">
        <f>IF(B14&lt;=$C$2,1,IF(B14=$C$2+1,PRODUCT($D$5:D14),E13*D14))</f>
        <v>1</v>
      </c>
      <c r="F14" s="10">
        <f t="shared" si="0"/>
        <v>0.67556416882579851</v>
      </c>
      <c r="G14" s="10">
        <f t="shared" si="5"/>
        <v>0.67556416882579851</v>
      </c>
      <c r="I14" s="13">
        <f t="shared" si="1"/>
        <v>5000</v>
      </c>
      <c r="J14" s="11">
        <f>(SUM(G15:$G$79)*$I$1)</f>
        <v>15412.721038453961</v>
      </c>
      <c r="K14" s="11">
        <f t="shared" si="6"/>
        <v>-3377.8208441289898</v>
      </c>
      <c r="Q14" s="65">
        <v>10</v>
      </c>
      <c r="R14" s="66">
        <f>Inputs!H17</f>
        <v>1.13E-4</v>
      </c>
    </row>
    <row r="15" spans="1:18" x14ac:dyDescent="0.25">
      <c r="A15">
        <f t="shared" si="2"/>
        <v>96</v>
      </c>
      <c r="B15">
        <v>11</v>
      </c>
      <c r="C15" s="12">
        <f t="shared" si="3"/>
        <v>0.197322</v>
      </c>
      <c r="D15" s="10">
        <f t="shared" si="4"/>
        <v>0.802678</v>
      </c>
      <c r="E15" s="198">
        <f>IF(B15&lt;=$C$2,1,IF(B15=$C$2+1,PRODUCT($D$5:D15),E14*D15))</f>
        <v>1</v>
      </c>
      <c r="F15" s="10">
        <f t="shared" si="0"/>
        <v>0.6495809315632679</v>
      </c>
      <c r="G15" s="10">
        <f t="shared" si="5"/>
        <v>0.6495809315632679</v>
      </c>
      <c r="I15" s="13">
        <f t="shared" si="1"/>
        <v>5000</v>
      </c>
      <c r="J15" s="11">
        <f>(SUM(G16:$G$79)*$I$1)</f>
        <v>12164.816380637621</v>
      </c>
      <c r="K15" s="11">
        <f t="shared" si="6"/>
        <v>-3247.9046578163397</v>
      </c>
      <c r="Q15" s="65">
        <v>11</v>
      </c>
      <c r="R15" s="66">
        <f>Inputs!H18</f>
        <v>1.11E-4</v>
      </c>
    </row>
    <row r="16" spans="1:18" x14ac:dyDescent="0.25">
      <c r="A16">
        <f t="shared" si="2"/>
        <v>97</v>
      </c>
      <c r="B16">
        <v>12</v>
      </c>
      <c r="C16" s="12">
        <f t="shared" si="3"/>
        <v>0.214751</v>
      </c>
      <c r="D16" s="10">
        <f t="shared" si="4"/>
        <v>0.78524899999999997</v>
      </c>
      <c r="E16" s="198">
        <f>IF(B16&lt;=$C$2,1,IF(B16=$C$2+1,PRODUCT($D$5:D16),E15*D16))</f>
        <v>1</v>
      </c>
      <c r="F16" s="10">
        <f t="shared" si="0"/>
        <v>0.62459704958006512</v>
      </c>
      <c r="G16" s="10">
        <f t="shared" si="5"/>
        <v>0.62459704958006512</v>
      </c>
      <c r="I16" s="13">
        <f t="shared" si="1"/>
        <v>5000</v>
      </c>
      <c r="J16" s="11">
        <f>(SUM(G17:$G$79)*$I$1)</f>
        <v>9041.8311327373049</v>
      </c>
      <c r="K16" s="11">
        <f t="shared" si="6"/>
        <v>-3122.9852479003166</v>
      </c>
      <c r="Q16" s="65">
        <v>12</v>
      </c>
      <c r="R16" s="66">
        <f>Inputs!H19</f>
        <v>1.3200000000000001E-4</v>
      </c>
    </row>
    <row r="17" spans="1:18" x14ac:dyDescent="0.25">
      <c r="A17">
        <f t="shared" si="2"/>
        <v>98</v>
      </c>
      <c r="B17">
        <v>13</v>
      </c>
      <c r="C17" s="12">
        <f t="shared" si="3"/>
        <v>0.23250699999999999</v>
      </c>
      <c r="D17" s="10">
        <f t="shared" si="4"/>
        <v>0.76749299999999998</v>
      </c>
      <c r="E17" s="198">
        <f>IF(B17&lt;=$C$2,1,IF(B17=$C$2+1,PRODUCT($D$5:D17),E16*D17))</f>
        <v>1</v>
      </c>
      <c r="F17" s="10">
        <f t="shared" si="0"/>
        <v>0.600574086134678</v>
      </c>
      <c r="G17" s="10">
        <f t="shared" si="5"/>
        <v>0.600574086134678</v>
      </c>
      <c r="I17" s="13">
        <f t="shared" si="1"/>
        <v>5000</v>
      </c>
      <c r="J17" s="11">
        <f>(SUM(G18:$G$79)*$I$1)</f>
        <v>6038.9607020639151</v>
      </c>
      <c r="K17" s="11">
        <f t="shared" si="6"/>
        <v>-3002.8704306733898</v>
      </c>
      <c r="Q17" s="65">
        <v>13</v>
      </c>
      <c r="R17" s="66">
        <f>Inputs!H20</f>
        <v>1.6899999999999999E-4</v>
      </c>
    </row>
    <row r="18" spans="1:18" x14ac:dyDescent="0.25">
      <c r="A18">
        <f t="shared" si="2"/>
        <v>99</v>
      </c>
      <c r="B18">
        <v>14</v>
      </c>
      <c r="C18" s="12">
        <f t="shared" si="3"/>
        <v>0.25039699999999998</v>
      </c>
      <c r="D18" s="10">
        <f t="shared" si="4"/>
        <v>0.74960300000000002</v>
      </c>
      <c r="E18" s="198">
        <f>IF(B18&lt;=$C$2,1,IF(B18=$C$2+1,PRODUCT($D$5:D18),E17*D18))</f>
        <v>1</v>
      </c>
      <c r="F18" s="10">
        <f t="shared" si="0"/>
        <v>0.57747508282180582</v>
      </c>
      <c r="G18" s="10">
        <f t="shared" si="5"/>
        <v>0.57747508282180582</v>
      </c>
      <c r="I18" s="13">
        <f t="shared" si="1"/>
        <v>5000</v>
      </c>
      <c r="J18" s="11">
        <f>(SUM(G19:$G$79)*$I$1)</f>
        <v>3151.5852879548829</v>
      </c>
      <c r="K18" s="11">
        <f t="shared" si="6"/>
        <v>-2887.3754141090321</v>
      </c>
      <c r="Q18" s="65">
        <v>14</v>
      </c>
      <c r="R18" s="66">
        <f>Inputs!H21</f>
        <v>2.13E-4</v>
      </c>
    </row>
    <row r="19" spans="1:18" x14ac:dyDescent="0.25">
      <c r="A19">
        <f t="shared" si="2"/>
        <v>100</v>
      </c>
      <c r="B19">
        <v>15</v>
      </c>
      <c r="C19" s="12">
        <f t="shared" si="3"/>
        <v>0.26860699999999998</v>
      </c>
      <c r="D19" s="10">
        <f t="shared" si="4"/>
        <v>0.73139299999999996</v>
      </c>
      <c r="E19" s="198">
        <f>IF(B19&lt;=$C$2,1,IF(B19=$C$2+1,PRODUCT($D$5:D19),E18*D19))</f>
        <v>1</v>
      </c>
      <c r="F19" s="10">
        <f t="shared" si="0"/>
        <v>0.55526450271327477</v>
      </c>
      <c r="G19" s="10">
        <f t="shared" si="5"/>
        <v>0.55526450271327477</v>
      </c>
      <c r="I19" s="13">
        <f t="shared" si="1"/>
        <v>5000</v>
      </c>
      <c r="J19" s="11">
        <f>(SUM(G20:$G$79)*$I$1)</f>
        <v>375.26277438850883</v>
      </c>
      <c r="K19" s="11">
        <f t="shared" si="6"/>
        <v>-2776.3225135663743</v>
      </c>
      <c r="Q19" s="65">
        <v>15</v>
      </c>
      <c r="R19" s="66">
        <f>Inputs!H22</f>
        <v>2.5399999999999999E-4</v>
      </c>
    </row>
    <row r="20" spans="1:18" x14ac:dyDescent="0.25">
      <c r="A20">
        <f t="shared" si="2"/>
        <v>101</v>
      </c>
      <c r="B20">
        <v>16</v>
      </c>
      <c r="C20" s="12">
        <f t="shared" si="3"/>
        <v>0.290016</v>
      </c>
      <c r="D20" s="10">
        <f t="shared" si="4"/>
        <v>0.70998399999999995</v>
      </c>
      <c r="E20" s="198">
        <f>IF(B20&lt;=$C$2,1,IF(B20=$C$2+1,PRODUCT($D$5:D20),E19*D20))</f>
        <v>5.1732385866997951E-2</v>
      </c>
      <c r="F20" s="10">
        <f t="shared" si="0"/>
        <v>0.53390817568584104</v>
      </c>
      <c r="G20" s="10">
        <f t="shared" si="5"/>
        <v>2.7620343762124862E-2</v>
      </c>
      <c r="I20" s="13">
        <f t="shared" si="1"/>
        <v>258.66192933498974</v>
      </c>
      <c r="J20" s="11">
        <f>(SUM(G21:$G$79)*$I$1)</f>
        <v>237.16105557788475</v>
      </c>
      <c r="K20" s="11">
        <f t="shared" si="6"/>
        <v>-138.10171881062408</v>
      </c>
      <c r="Q20" s="65">
        <v>16</v>
      </c>
      <c r="R20" s="66">
        <f>Inputs!H23</f>
        <v>2.9300000000000002E-4</v>
      </c>
    </row>
    <row r="21" spans="1:18" x14ac:dyDescent="0.25">
      <c r="A21">
        <f t="shared" si="2"/>
        <v>102</v>
      </c>
      <c r="B21">
        <v>17</v>
      </c>
      <c r="C21" s="12">
        <f t="shared" si="3"/>
        <v>0.31184899999999999</v>
      </c>
      <c r="D21" s="10">
        <f t="shared" si="4"/>
        <v>0.68815099999999996</v>
      </c>
      <c r="E21" s="198">
        <f>IF(B21&lt;=$C$2,1,IF(B21=$C$2+1,PRODUCT($D$5:D21),E20*D21))</f>
        <v>3.5599693066760502E-2</v>
      </c>
      <c r="F21" s="10">
        <f t="shared" si="0"/>
        <v>0.51337324585177024</v>
      </c>
      <c r="G21" s="10">
        <f t="shared" si="5"/>
        <v>1.82759299810096E-2</v>
      </c>
      <c r="I21" s="13">
        <f t="shared" si="1"/>
        <v>177.9984653338025</v>
      </c>
      <c r="J21" s="11">
        <f>(SUM(G22:$G$79)*$I$1)</f>
        <v>145.78140567283668</v>
      </c>
      <c r="K21" s="11">
        <f t="shared" si="6"/>
        <v>-91.379649905048069</v>
      </c>
      <c r="Q21" s="65">
        <v>17</v>
      </c>
      <c r="R21" s="66">
        <f>Inputs!H24</f>
        <v>3.28E-4</v>
      </c>
    </row>
    <row r="22" spans="1:18" x14ac:dyDescent="0.25">
      <c r="A22">
        <f t="shared" si="2"/>
        <v>103</v>
      </c>
      <c r="B22">
        <v>18</v>
      </c>
      <c r="C22" s="12">
        <f t="shared" si="3"/>
        <v>0.33396199999999998</v>
      </c>
      <c r="D22" s="10">
        <f t="shared" si="4"/>
        <v>0.66603800000000002</v>
      </c>
      <c r="E22" s="198">
        <f>IF(B22&lt;=$C$2,1,IF(B22=$C$2+1,PRODUCT($D$5:D22),E21*D22))</f>
        <v>2.3710748370799031E-2</v>
      </c>
      <c r="F22" s="10">
        <f t="shared" si="0"/>
        <v>0.49362812101131748</v>
      </c>
      <c r="G22" s="10">
        <f t="shared" si="5"/>
        <v>1.1704292166049683E-2</v>
      </c>
      <c r="I22" s="13">
        <f t="shared" si="1"/>
        <v>118.55374185399515</v>
      </c>
      <c r="J22" s="11">
        <f>(SUM(G23:$G$79)*$I$1)</f>
        <v>87.259944842588283</v>
      </c>
      <c r="K22" s="11">
        <f t="shared" si="6"/>
        <v>-58.521460830248401</v>
      </c>
      <c r="Q22" s="65">
        <v>18</v>
      </c>
      <c r="R22" s="66">
        <f>Inputs!H25</f>
        <v>3.59E-4</v>
      </c>
    </row>
    <row r="23" spans="1:18" x14ac:dyDescent="0.25">
      <c r="A23">
        <f t="shared" si="2"/>
        <v>104</v>
      </c>
      <c r="B23">
        <v>19</v>
      </c>
      <c r="C23" s="12">
        <f t="shared" si="3"/>
        <v>0.356207</v>
      </c>
      <c r="D23" s="10">
        <f t="shared" si="4"/>
        <v>0.64379300000000006</v>
      </c>
      <c r="E23" s="198">
        <f>IF(B23&lt;=$C$2,1,IF(B23=$C$2+1,PRODUCT($D$5:D23),E22*D23))</f>
        <v>1.5264813825881822E-2</v>
      </c>
      <c r="F23" s="10">
        <f t="shared" si="0"/>
        <v>0.47464242404934376</v>
      </c>
      <c r="G23" s="10">
        <f t="shared" si="5"/>
        <v>7.2453282369784851E-3</v>
      </c>
      <c r="I23" s="13">
        <f t="shared" si="1"/>
        <v>76.324069129409111</v>
      </c>
      <c r="J23" s="11">
        <f>(SUM(G24:$G$79)*$I$1)</f>
        <v>51.033303657695846</v>
      </c>
      <c r="K23" s="11">
        <f t="shared" si="6"/>
        <v>-36.226641184892436</v>
      </c>
      <c r="Q23" s="65">
        <v>19</v>
      </c>
      <c r="R23" s="66">
        <f>Inputs!H26</f>
        <v>3.8699999999999997E-4</v>
      </c>
    </row>
    <row r="24" spans="1:18" x14ac:dyDescent="0.25">
      <c r="A24">
        <f t="shared" si="2"/>
        <v>105</v>
      </c>
      <c r="B24">
        <v>20</v>
      </c>
      <c r="C24" s="12">
        <f t="shared" si="3"/>
        <v>0.38</v>
      </c>
      <c r="D24" s="10">
        <f t="shared" si="4"/>
        <v>0.62</v>
      </c>
      <c r="E24" s="198">
        <f>IF(B24&lt;=$C$2,1,IF(B24=$C$2+1,PRODUCT($D$5:D24),E23*D24))</f>
        <v>9.4641845720467299E-3</v>
      </c>
      <c r="F24" s="10">
        <f t="shared" si="0"/>
        <v>0.45638694620129205</v>
      </c>
      <c r="G24" s="10">
        <f t="shared" si="5"/>
        <v>4.3193302951217896E-3</v>
      </c>
      <c r="I24" s="13">
        <f t="shared" si="1"/>
        <v>47.320922860233651</v>
      </c>
      <c r="J24" s="11">
        <f>(SUM(G25:$G$79)*$I$1)</f>
        <v>29.436652182086902</v>
      </c>
      <c r="K24" s="11">
        <f t="shared" si="6"/>
        <v>-21.596651475608944</v>
      </c>
      <c r="Q24" s="65">
        <v>20</v>
      </c>
      <c r="R24" s="66">
        <f>Inputs!H27</f>
        <v>4.1399999999999998E-4</v>
      </c>
    </row>
    <row r="25" spans="1:18" x14ac:dyDescent="0.25">
      <c r="A25">
        <f t="shared" si="2"/>
        <v>106</v>
      </c>
      <c r="B25">
        <v>21</v>
      </c>
      <c r="C25" s="12">
        <f t="shared" si="3"/>
        <v>0.4</v>
      </c>
      <c r="D25" s="10">
        <f t="shared" si="4"/>
        <v>0.6</v>
      </c>
      <c r="E25" s="198">
        <f>IF(B25&lt;=$C$2,1,IF(B25=$C$2+1,PRODUCT($D$5:D25),E24*D25))</f>
        <v>5.6785107432280376E-3</v>
      </c>
      <c r="F25" s="10">
        <f t="shared" si="0"/>
        <v>0.43883360211662686</v>
      </c>
      <c r="G25" s="10">
        <f t="shared" si="5"/>
        <v>2.4919213241087236E-3</v>
      </c>
      <c r="I25" s="13">
        <f t="shared" si="1"/>
        <v>28.392553716140188</v>
      </c>
      <c r="J25" s="11">
        <f>(SUM(G26:$G$79)*$I$1)</f>
        <v>16.977045561543285</v>
      </c>
      <c r="K25" s="11">
        <f t="shared" si="6"/>
        <v>-12.459606620543617</v>
      </c>
      <c r="Q25" s="65">
        <v>21</v>
      </c>
      <c r="R25" s="66">
        <f>Inputs!H28</f>
        <v>4.4299999999999998E-4</v>
      </c>
    </row>
    <row r="26" spans="1:18" x14ac:dyDescent="0.25">
      <c r="A26">
        <f t="shared" si="2"/>
        <v>107</v>
      </c>
      <c r="B26">
        <v>22</v>
      </c>
      <c r="C26" s="12">
        <f t="shared" si="3"/>
        <v>0.4</v>
      </c>
      <c r="D26" s="10">
        <f t="shared" si="4"/>
        <v>0.6</v>
      </c>
      <c r="E26" s="198">
        <f>IF(B26&lt;=$C$2,1,IF(B26=$C$2+1,PRODUCT($D$5:D26),E25*D26))</f>
        <v>3.4071064459368226E-3</v>
      </c>
      <c r="F26" s="10">
        <f t="shared" si="0"/>
        <v>0.42195538665060278</v>
      </c>
      <c r="G26" s="10">
        <f t="shared" si="5"/>
        <v>1.4376469177550331E-3</v>
      </c>
      <c r="I26" s="13">
        <f t="shared" si="1"/>
        <v>17.035532229684112</v>
      </c>
      <c r="J26" s="11">
        <f>(SUM(G27:$G$79)*$I$1)</f>
        <v>9.7888109727681183</v>
      </c>
      <c r="K26" s="11">
        <f t="shared" si="6"/>
        <v>-7.1882345887751669</v>
      </c>
      <c r="Q26" s="65">
        <v>22</v>
      </c>
      <c r="R26" s="66">
        <f>Inputs!H29</f>
        <v>4.73E-4</v>
      </c>
    </row>
    <row r="27" spans="1:18" x14ac:dyDescent="0.25">
      <c r="A27">
        <f t="shared" si="2"/>
        <v>108</v>
      </c>
      <c r="B27">
        <v>23</v>
      </c>
      <c r="C27" s="12">
        <f t="shared" si="3"/>
        <v>0.4</v>
      </c>
      <c r="D27" s="10">
        <f t="shared" si="4"/>
        <v>0.6</v>
      </c>
      <c r="E27" s="198">
        <f>IF(B27&lt;=$C$2,1,IF(B27=$C$2+1,PRODUCT($D$5:D27),E26*D27))</f>
        <v>2.0442638675620935E-3</v>
      </c>
      <c r="F27" s="10">
        <f t="shared" si="0"/>
        <v>0.40572633331788732</v>
      </c>
      <c r="G27" s="10">
        <f t="shared" si="5"/>
        <v>8.2941168332021145E-4</v>
      </c>
      <c r="I27" s="13">
        <f t="shared" si="1"/>
        <v>10.221319337810467</v>
      </c>
      <c r="J27" s="11">
        <f>(SUM(G28:$G$79)*$I$1)</f>
        <v>5.6417525561670621</v>
      </c>
      <c r="K27" s="11">
        <f t="shared" si="6"/>
        <v>-4.1470584166010562</v>
      </c>
      <c r="Q27" s="65">
        <v>23</v>
      </c>
      <c r="R27" s="66">
        <f>Inputs!H30</f>
        <v>5.13E-4</v>
      </c>
    </row>
    <row r="28" spans="1:18" x14ac:dyDescent="0.25">
      <c r="A28">
        <f t="shared" si="2"/>
        <v>109</v>
      </c>
      <c r="B28">
        <v>24</v>
      </c>
      <c r="C28" s="12">
        <f t="shared" si="3"/>
        <v>0.4</v>
      </c>
      <c r="D28" s="10">
        <f t="shared" si="4"/>
        <v>0.6</v>
      </c>
      <c r="E28" s="198">
        <f>IF(B28&lt;=$C$2,1,IF(B28=$C$2+1,PRODUCT($D$5:D28),E27*D28))</f>
        <v>1.226558320537256E-3</v>
      </c>
      <c r="F28" s="10">
        <f t="shared" si="0"/>
        <v>0.39012147434412242</v>
      </c>
      <c r="G28" s="10">
        <f t="shared" si="5"/>
        <v>4.7850674037704501E-4</v>
      </c>
      <c r="I28" s="13">
        <f t="shared" si="1"/>
        <v>6.1327916026862797</v>
      </c>
      <c r="J28" s="11">
        <f>(SUM(G29:$G$79)*$I$1)</f>
        <v>3.2492188542818363</v>
      </c>
      <c r="K28" s="11">
        <f t="shared" si="6"/>
        <v>-2.3925337018852257</v>
      </c>
      <c r="Q28" s="65">
        <v>24</v>
      </c>
      <c r="R28" s="66">
        <f>Inputs!H31</f>
        <v>5.5400000000000002E-4</v>
      </c>
    </row>
    <row r="29" spans="1:18" x14ac:dyDescent="0.25">
      <c r="A29">
        <f t="shared" si="2"/>
        <v>110</v>
      </c>
      <c r="B29">
        <v>25</v>
      </c>
      <c r="C29" s="12">
        <f t="shared" si="3"/>
        <v>0.4</v>
      </c>
      <c r="D29" s="10">
        <f t="shared" si="4"/>
        <v>0.6</v>
      </c>
      <c r="E29" s="198">
        <f>IF(B29&lt;=$C$2,1,IF(B29=$C$2+1,PRODUCT($D$5:D29),E28*D29))</f>
        <v>7.3593499232235357E-4</v>
      </c>
      <c r="F29" s="10">
        <f t="shared" si="0"/>
        <v>0.37511680225396377</v>
      </c>
      <c r="G29" s="10">
        <f t="shared" si="5"/>
        <v>2.7606158098675667E-4</v>
      </c>
      <c r="I29" s="13">
        <f t="shared" si="1"/>
        <v>3.6796749616117679</v>
      </c>
      <c r="J29" s="11">
        <f>(SUM(G30:$G$79)*$I$1)</f>
        <v>1.8689109493480531</v>
      </c>
      <c r="K29" s="11">
        <f t="shared" si="6"/>
        <v>-1.3803079049337832</v>
      </c>
      <c r="Q29" s="65">
        <v>25</v>
      </c>
      <c r="R29" s="66">
        <f>Inputs!H32</f>
        <v>6.02E-4</v>
      </c>
    </row>
    <row r="30" spans="1:18" x14ac:dyDescent="0.25">
      <c r="A30">
        <f t="shared" si="2"/>
        <v>111</v>
      </c>
      <c r="B30">
        <v>26</v>
      </c>
      <c r="C30" s="12">
        <f t="shared" si="3"/>
        <v>0.4</v>
      </c>
      <c r="D30" s="10">
        <f t="shared" si="4"/>
        <v>0.6</v>
      </c>
      <c r="E30" s="198">
        <f>IF(B30&lt;=$C$2,1,IF(B30=$C$2+1,PRODUCT($D$5:D30),E29*D30))</f>
        <v>4.4156099539341214E-4</v>
      </c>
      <c r="F30" s="10">
        <f t="shared" si="0"/>
        <v>0.36068923293650368</v>
      </c>
      <c r="G30" s="10">
        <f t="shared" si="5"/>
        <v>1.5926629672312887E-4</v>
      </c>
      <c r="I30" s="13">
        <f t="shared" si="1"/>
        <v>2.2078049769670609</v>
      </c>
      <c r="J30" s="11">
        <f>(SUM(G31:$G$79)*$I$1)</f>
        <v>1.0725794657324088</v>
      </c>
      <c r="K30" s="11">
        <f t="shared" si="6"/>
        <v>-0.79633148361564432</v>
      </c>
      <c r="Q30" s="65">
        <v>26</v>
      </c>
      <c r="R30" s="66">
        <f>Inputs!H33</f>
        <v>6.5499999999999998E-4</v>
      </c>
    </row>
    <row r="31" spans="1:18" x14ac:dyDescent="0.25">
      <c r="A31">
        <f t="shared" si="2"/>
        <v>112</v>
      </c>
      <c r="B31">
        <v>27</v>
      </c>
      <c r="C31" s="12">
        <f t="shared" si="3"/>
        <v>0.4</v>
      </c>
      <c r="D31" s="10">
        <f t="shared" si="4"/>
        <v>0.6</v>
      </c>
      <c r="E31" s="198">
        <f>IF(B31&lt;=$C$2,1,IF(B31=$C$2+1,PRODUCT($D$5:D31),E30*D31))</f>
        <v>2.6493659723604725E-4</v>
      </c>
      <c r="F31" s="10">
        <f t="shared" si="0"/>
        <v>0.3468165701312535</v>
      </c>
      <c r="G31" s="10">
        <f t="shared" si="5"/>
        <v>9.1884401955651248E-5</v>
      </c>
      <c r="I31" s="13">
        <f t="shared" si="1"/>
        <v>1.3246829861802363</v>
      </c>
      <c r="J31" s="11">
        <f>(SUM(G32:$G$79)*$I$1)</f>
        <v>0.61315745595415272</v>
      </c>
      <c r="K31" s="11">
        <f t="shared" si="6"/>
        <v>-0.45942200977825609</v>
      </c>
      <c r="Q31" s="65">
        <v>27</v>
      </c>
      <c r="R31" s="66">
        <f>Inputs!H34</f>
        <v>6.8800000000000003E-4</v>
      </c>
    </row>
    <row r="32" spans="1:18" x14ac:dyDescent="0.25">
      <c r="A32">
        <f t="shared" si="2"/>
        <v>113</v>
      </c>
      <c r="B32">
        <v>28</v>
      </c>
      <c r="C32" s="12">
        <f t="shared" si="3"/>
        <v>0.4</v>
      </c>
      <c r="D32" s="10">
        <f t="shared" si="4"/>
        <v>0.6</v>
      </c>
      <c r="E32" s="198">
        <f>IF(B32&lt;=$C$2,1,IF(B32=$C$2+1,PRODUCT($D$5:D32),E31*D32))</f>
        <v>1.5896195834162836E-4</v>
      </c>
      <c r="F32" s="10">
        <f t="shared" si="0"/>
        <v>0.3334774712800514</v>
      </c>
      <c r="G32" s="10">
        <f t="shared" si="5"/>
        <v>5.3010231897491094E-5</v>
      </c>
      <c r="I32" s="13">
        <f t="shared" si="1"/>
        <v>0.79480979170814181</v>
      </c>
      <c r="J32" s="11">
        <f>(SUM(G33:$G$79)*$I$1)</f>
        <v>0.34810629646669722</v>
      </c>
      <c r="K32" s="11">
        <f t="shared" si="6"/>
        <v>-0.2650511594874555</v>
      </c>
      <c r="Q32" s="65">
        <v>28</v>
      </c>
      <c r="R32" s="66">
        <f>Inputs!H35</f>
        <v>7.1000000000000002E-4</v>
      </c>
    </row>
    <row r="33" spans="1:18" x14ac:dyDescent="0.25">
      <c r="A33">
        <f t="shared" si="2"/>
        <v>114</v>
      </c>
      <c r="B33">
        <v>29</v>
      </c>
      <c r="C33" s="12">
        <f t="shared" si="3"/>
        <v>0.4</v>
      </c>
      <c r="D33" s="10">
        <f t="shared" si="4"/>
        <v>0.6</v>
      </c>
      <c r="E33" s="198">
        <f>IF(B33&lt;=$C$2,1,IF(B33=$C$2+1,PRODUCT($D$5:D33),E32*D33))</f>
        <v>9.5377175004977014E-5</v>
      </c>
      <c r="F33" s="10">
        <f t="shared" si="0"/>
        <v>0.32065141469235708</v>
      </c>
      <c r="G33" s="10">
        <f t="shared" si="5"/>
        <v>3.0582826094706401E-5</v>
      </c>
      <c r="I33" s="13">
        <f t="shared" si="1"/>
        <v>0.47688587502488505</v>
      </c>
      <c r="J33" s="11">
        <f>(SUM(G34:$G$79)*$I$1)</f>
        <v>0.19519216599316516</v>
      </c>
      <c r="K33" s="11">
        <f t="shared" si="6"/>
        <v>-0.15291413047353206</v>
      </c>
      <c r="Q33" s="65">
        <v>29</v>
      </c>
      <c r="R33" s="66">
        <f>Inputs!H36</f>
        <v>7.27E-4</v>
      </c>
    </row>
    <row r="34" spans="1:18" x14ac:dyDescent="0.25">
      <c r="A34">
        <f t="shared" si="2"/>
        <v>115</v>
      </c>
      <c r="B34">
        <v>30</v>
      </c>
      <c r="C34" s="12">
        <f t="shared" si="3"/>
        <v>0.4</v>
      </c>
      <c r="D34" s="10">
        <f t="shared" si="4"/>
        <v>0.6</v>
      </c>
      <c r="E34" s="198">
        <f>IF(B34&lt;=$C$2,1,IF(B34=$C$2+1,PRODUCT($D$5:D34),E33*D34))</f>
        <v>5.7226305002986203E-5</v>
      </c>
      <c r="F34" s="10">
        <f t="shared" si="0"/>
        <v>0.30831866797342034</v>
      </c>
      <c r="G34" s="10">
        <f t="shared" si="5"/>
        <v>1.7643938131561387E-5</v>
      </c>
      <c r="I34" s="13">
        <f t="shared" si="1"/>
        <v>0.286131525014931</v>
      </c>
      <c r="J34" s="11">
        <f>(SUM(G35:$G$79)*$I$1)</f>
        <v>0.10697247533535828</v>
      </c>
      <c r="K34" s="11">
        <f t="shared" si="6"/>
        <v>-8.8219690657806882E-2</v>
      </c>
      <c r="Q34" s="65">
        <v>30</v>
      </c>
      <c r="R34" s="66">
        <f>Inputs!H37</f>
        <v>7.4100000000000001E-4</v>
      </c>
    </row>
    <row r="35" spans="1:18" x14ac:dyDescent="0.25">
      <c r="A35">
        <f t="shared" si="2"/>
        <v>116</v>
      </c>
      <c r="B35">
        <v>31</v>
      </c>
      <c r="C35" s="12">
        <f t="shared" si="3"/>
        <v>0.4</v>
      </c>
      <c r="D35" s="10">
        <f t="shared" si="4"/>
        <v>0.6</v>
      </c>
      <c r="E35" s="198">
        <f>IF(B35&lt;=$C$2,1,IF(B35=$C$2+1,PRODUCT($D$5:D35),E34*D35))</f>
        <v>3.4335783001791723E-5</v>
      </c>
      <c r="F35" s="10">
        <f t="shared" si="0"/>
        <v>0.29646025766675027</v>
      </c>
      <c r="G35" s="10">
        <f t="shared" si="5"/>
        <v>1.0179195075900798E-5</v>
      </c>
      <c r="I35" s="13">
        <f t="shared" si="1"/>
        <v>0.17167891500895863</v>
      </c>
      <c r="J35" s="11">
        <f>(SUM(G36:$G$79)*$I$1)</f>
        <v>5.6076499955854273E-2</v>
      </c>
      <c r="K35" s="11">
        <f t="shared" si="6"/>
        <v>-5.0895975379504008E-2</v>
      </c>
      <c r="Q35" s="65">
        <v>31</v>
      </c>
      <c r="R35" s="66">
        <f>Inputs!H38</f>
        <v>7.5100000000000004E-4</v>
      </c>
    </row>
    <row r="36" spans="1:18" x14ac:dyDescent="0.25">
      <c r="A36">
        <f t="shared" si="2"/>
        <v>117</v>
      </c>
      <c r="B36">
        <v>32</v>
      </c>
      <c r="C36" s="12">
        <f t="shared" si="3"/>
        <v>0.4</v>
      </c>
      <c r="D36" s="10">
        <f t="shared" si="4"/>
        <v>0.6</v>
      </c>
      <c r="E36" s="198">
        <f>IF(B36&lt;=$C$2,1,IF(B36=$C$2+1,PRODUCT($D$5:D36),E35*D36))</f>
        <v>2.0601469801075034E-5</v>
      </c>
      <c r="F36" s="10">
        <f t="shared" si="0"/>
        <v>0.28505794006418295</v>
      </c>
      <c r="G36" s="10">
        <f t="shared" si="5"/>
        <v>5.872612543788922E-6</v>
      </c>
      <c r="I36" s="13">
        <f t="shared" si="1"/>
        <v>0.10300734900537517</v>
      </c>
      <c r="J36" s="11">
        <f>(SUM(G37:$G$79)*$I$1)</f>
        <v>2.6713437236909669E-2</v>
      </c>
      <c r="K36" s="11">
        <f t="shared" si="6"/>
        <v>-2.9363062718944604E-2</v>
      </c>
      <c r="Q36" s="65">
        <v>32</v>
      </c>
      <c r="R36" s="66">
        <f>Inputs!H39</f>
        <v>7.54E-4</v>
      </c>
    </row>
    <row r="37" spans="1:18" x14ac:dyDescent="0.25">
      <c r="A37">
        <f t="shared" si="2"/>
        <v>118</v>
      </c>
      <c r="B37">
        <v>33</v>
      </c>
      <c r="C37" s="12">
        <f t="shared" si="3"/>
        <v>0.4</v>
      </c>
      <c r="D37" s="10">
        <f t="shared" si="4"/>
        <v>0.6</v>
      </c>
      <c r="E37" s="198">
        <f>IF(B37&lt;=$C$2,1,IF(B37=$C$2+1,PRODUCT($D$5:D37),E36*D37))</f>
        <v>1.2360881880645021E-5</v>
      </c>
      <c r="F37" s="10">
        <f t="shared" si="0"/>
        <v>0.27409417313863743</v>
      </c>
      <c r="G37" s="10">
        <f t="shared" si="5"/>
        <v>3.3880456983397627E-6</v>
      </c>
      <c r="I37" s="13">
        <f t="shared" si="1"/>
        <v>6.1804409403225104E-2</v>
      </c>
      <c r="J37" s="11">
        <f>(SUM(G38:$G$79)*$I$1)</f>
        <v>9.7732087452108516E-3</v>
      </c>
      <c r="K37" s="11">
        <f t="shared" si="6"/>
        <v>-1.6940228491698815E-2</v>
      </c>
      <c r="Q37" s="65">
        <v>33</v>
      </c>
      <c r="R37" s="66">
        <f>Inputs!H40</f>
        <v>7.5600000000000005E-4</v>
      </c>
    </row>
    <row r="38" spans="1:18" x14ac:dyDescent="0.25">
      <c r="A38">
        <f t="shared" si="2"/>
        <v>119</v>
      </c>
      <c r="B38">
        <v>34</v>
      </c>
      <c r="C38" s="12">
        <f t="shared" si="3"/>
        <v>0.4</v>
      </c>
      <c r="D38" s="10">
        <f t="shared" si="4"/>
        <v>0.6</v>
      </c>
      <c r="E38" s="198">
        <f>IF(B38&lt;=$C$2,1,IF(B38=$C$2+1,PRODUCT($D$5:D38),E37*D38))</f>
        <v>7.4165291283870117E-6</v>
      </c>
      <c r="F38" s="10">
        <f t="shared" si="0"/>
        <v>0.26355208955638215</v>
      </c>
      <c r="G38" s="10">
        <f t="shared" si="5"/>
        <v>1.9546417490421704E-6</v>
      </c>
      <c r="I38" s="13">
        <f t="shared" si="1"/>
        <v>3.7082645641935058E-2</v>
      </c>
      <c r="J38" s="11">
        <f>(SUM(G39:$G$79)*$I$1)</f>
        <v>0</v>
      </c>
      <c r="K38" s="11">
        <f t="shared" si="6"/>
        <v>-9.7732087452108516E-3</v>
      </c>
      <c r="Q38" s="65">
        <v>34</v>
      </c>
      <c r="R38" s="66">
        <f>Inputs!H41</f>
        <v>7.5600000000000005E-4</v>
      </c>
    </row>
    <row r="39" spans="1:18" x14ac:dyDescent="0.25">
      <c r="A39">
        <f t="shared" si="2"/>
        <v>120</v>
      </c>
      <c r="B39">
        <v>35</v>
      </c>
      <c r="C39" s="12">
        <f t="shared" si="3"/>
        <v>1</v>
      </c>
      <c r="D39" s="10">
        <f t="shared" si="4"/>
        <v>0</v>
      </c>
      <c r="E39" s="198">
        <f>IF(B39&lt;=$C$2,1,IF(B39=$C$2+1,PRODUCT($D$5:D39),E38*D39))</f>
        <v>0</v>
      </c>
      <c r="F39" s="10">
        <f t="shared" si="0"/>
        <v>0</v>
      </c>
      <c r="G39" s="10">
        <f t="shared" si="5"/>
        <v>0</v>
      </c>
      <c r="I39" s="13">
        <f t="shared" si="1"/>
        <v>0</v>
      </c>
      <c r="J39" s="11">
        <f>(SUM(G40:$G$79)*$I$1)</f>
        <v>0</v>
      </c>
      <c r="K39" s="11">
        <f t="shared" si="6"/>
        <v>0</v>
      </c>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9">
    <cfRule type="cellIs" dxfId="12"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91"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152</v>
      </c>
      <c r="I1" s="3">
        <v>5000</v>
      </c>
      <c r="J1" s="181" t="s">
        <v>173</v>
      </c>
      <c r="L1" s="1"/>
      <c r="M1" s="4"/>
      <c r="N1" s="4"/>
      <c r="O1" s="4"/>
      <c r="P1" s="4"/>
      <c r="Q1" s="64"/>
      <c r="R1" s="28"/>
    </row>
    <row r="2" spans="1:18" ht="15.75" customHeight="1" thickBot="1" x14ac:dyDescent="0.3">
      <c r="B2" t="s">
        <v>227</v>
      </c>
      <c r="C2">
        <v>20</v>
      </c>
      <c r="F2" s="5">
        <f>'Asset and Liability Durations'!N30</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+SUMPRODUCT(B5:B59,I5:I59,F5:F59)/SUMPRODUCT(F5:F59,I5:I59)</f>
        <v>9.2148181589926796</v>
      </c>
      <c r="N3" s="10"/>
      <c r="O3" s="10"/>
      <c r="P3" s="10"/>
      <c r="Q3" s="31"/>
      <c r="R3" s="32"/>
    </row>
    <row r="4" spans="1:18" x14ac:dyDescent="0.25">
      <c r="A4">
        <v>85</v>
      </c>
      <c r="B4">
        <v>0</v>
      </c>
      <c r="C4" s="8"/>
      <c r="D4" s="7"/>
      <c r="E4" s="7"/>
      <c r="F4" s="7"/>
      <c r="G4" s="10">
        <v>1</v>
      </c>
      <c r="J4" s="11">
        <f>(SUM(G5:$G$79)*$I$1)</f>
        <v>67981.068377020521</v>
      </c>
      <c r="Q4" s="65">
        <v>0</v>
      </c>
      <c r="R4" s="66">
        <f>Inputs!H7</f>
        <v>1.6050000000000001E-3</v>
      </c>
    </row>
    <row r="5" spans="1:18" ht="15.75" thickBot="1" x14ac:dyDescent="0.3">
      <c r="A5">
        <f>B5+$A$4</f>
        <v>86</v>
      </c>
      <c r="B5">
        <v>1</v>
      </c>
      <c r="C5" s="12">
        <f>VLOOKUP(A5,$Q$4:$R$124,2,FALSE)</f>
        <v>6.7514000000000005E-2</v>
      </c>
      <c r="D5" s="10">
        <f>1-C5</f>
        <v>0.93248600000000004</v>
      </c>
      <c r="E5" s="198">
        <f>IF(B5&lt;=$C$2,1,IF(B5=$C$2+1,PRODUCT($D$5:D5),E4*D5))</f>
        <v>1</v>
      </c>
      <c r="F5" s="10">
        <f t="shared" ref="F5:F39" si="0">IF(D5=0,0,(1+$F$2)^-B5)</f>
        <v>0.96153846153846145</v>
      </c>
      <c r="G5" s="10">
        <f>F5*E5</f>
        <v>0.96153846153846145</v>
      </c>
      <c r="I5" s="13">
        <f t="shared" ref="I5:I39" si="1">E5*$I$1</f>
        <v>5000</v>
      </c>
      <c r="J5" s="11">
        <f>(SUM(G6:$G$79)*$I$1)</f>
        <v>63173.376069328209</v>
      </c>
      <c r="K5" s="11">
        <f>J5-J4</f>
        <v>-4807.6923076923122</v>
      </c>
      <c r="L5" s="14" t="s">
        <v>16</v>
      </c>
      <c r="M5" s="14" t="s">
        <v>17</v>
      </c>
      <c r="N5" s="14" t="s">
        <v>18</v>
      </c>
      <c r="O5" s="14" t="s">
        <v>47</v>
      </c>
      <c r="Q5" s="65">
        <v>1</v>
      </c>
      <c r="R5" s="66">
        <f>Inputs!H8</f>
        <v>4.0099999999999999E-4</v>
      </c>
    </row>
    <row r="6" spans="1:18" x14ac:dyDescent="0.25">
      <c r="A6">
        <f t="shared" ref="A6:A39" si="2">B6+$A$4</f>
        <v>87</v>
      </c>
      <c r="B6">
        <v>2</v>
      </c>
      <c r="C6" s="12">
        <f t="shared" ref="C6:C39" si="3">VLOOKUP(A6,$Q$4:$R$124,2,FALSE)</f>
        <v>7.6340000000000005E-2</v>
      </c>
      <c r="D6" s="10">
        <f t="shared" ref="D6:D39" si="4">1-C6</f>
        <v>0.92366000000000004</v>
      </c>
      <c r="E6" s="198">
        <f>IF(B6&lt;=$C$2,1,IF(B6=$C$2+1,PRODUCT($D$5:D6),E5*D6))</f>
        <v>1</v>
      </c>
      <c r="F6" s="10">
        <f t="shared" si="0"/>
        <v>0.92455621301775137</v>
      </c>
      <c r="G6" s="10">
        <f t="shared" ref="G6:G39" si="5">F6*E6</f>
        <v>0.92455621301775137</v>
      </c>
      <c r="I6" s="13">
        <f t="shared" si="1"/>
        <v>5000</v>
      </c>
      <c r="J6" s="11">
        <f>(SUM(G7:$G$79)*$I$1)</f>
        <v>58550.595004239447</v>
      </c>
      <c r="K6" s="11">
        <f t="shared" ref="K6:K39" si="6">J6-J5</f>
        <v>-4622.7810650887623</v>
      </c>
      <c r="L6" s="14">
        <v>2</v>
      </c>
      <c r="M6" s="54" t="s">
        <v>44</v>
      </c>
      <c r="N6" s="15">
        <f>SUM(I5:I7)</f>
        <v>15000</v>
      </c>
      <c r="O6" s="16">
        <f>N6/SUM($N$6:$N$9)</f>
        <v>0.14989368676298884</v>
      </c>
      <c r="Q6" s="65">
        <v>2</v>
      </c>
      <c r="R6" s="66">
        <f>Inputs!H9</f>
        <v>2.7500000000000002E-4</v>
      </c>
    </row>
    <row r="7" spans="1:18" x14ac:dyDescent="0.25">
      <c r="A7">
        <f t="shared" si="2"/>
        <v>88</v>
      </c>
      <c r="B7">
        <v>3</v>
      </c>
      <c r="C7" s="12">
        <f t="shared" si="3"/>
        <v>8.6388000000000006E-2</v>
      </c>
      <c r="D7" s="10">
        <f t="shared" si="4"/>
        <v>0.91361199999999998</v>
      </c>
      <c r="E7" s="198">
        <f>IF(B7&lt;=$C$2,1,IF(B7=$C$2+1,PRODUCT($D$5:D7),E6*D7))</f>
        <v>1</v>
      </c>
      <c r="F7" s="10">
        <f t="shared" si="0"/>
        <v>0.88899635867091487</v>
      </c>
      <c r="G7" s="10">
        <f t="shared" si="5"/>
        <v>0.88899635867091487</v>
      </c>
      <c r="I7" s="13">
        <f t="shared" si="1"/>
        <v>5000</v>
      </c>
      <c r="J7" s="11">
        <f>(SUM(G8:$G$79)*$I$1)</f>
        <v>54105.613210884869</v>
      </c>
      <c r="K7" s="11">
        <f t="shared" si="6"/>
        <v>-4444.9817933545783</v>
      </c>
      <c r="L7" s="14">
        <v>5</v>
      </c>
      <c r="M7" s="19" t="s">
        <v>45</v>
      </c>
      <c r="N7" s="17">
        <f>SUM(I8:I11)</f>
        <v>20000</v>
      </c>
      <c r="O7" s="18">
        <f>N7/SUM($N$6:$N$9)</f>
        <v>0.19985824901731847</v>
      </c>
      <c r="Q7" s="65">
        <v>3</v>
      </c>
      <c r="R7" s="66">
        <f>Inputs!H10</f>
        <v>2.2900000000000001E-4</v>
      </c>
    </row>
    <row r="8" spans="1:18" x14ac:dyDescent="0.25">
      <c r="A8">
        <f t="shared" si="2"/>
        <v>89</v>
      </c>
      <c r="B8">
        <v>4</v>
      </c>
      <c r="C8" s="12">
        <f t="shared" si="3"/>
        <v>9.7633999999999999E-2</v>
      </c>
      <c r="D8" s="10">
        <f t="shared" si="4"/>
        <v>0.902366</v>
      </c>
      <c r="E8" s="198">
        <f>IF(B8&lt;=$C$2,1,IF(B8=$C$2+1,PRODUCT($D$5:D8),E7*D8))</f>
        <v>1</v>
      </c>
      <c r="F8" s="10">
        <f t="shared" si="0"/>
        <v>0.85480419102972571</v>
      </c>
      <c r="G8" s="10">
        <f>F8*E8</f>
        <v>0.85480419102972571</v>
      </c>
      <c r="I8" s="13">
        <f t="shared" si="1"/>
        <v>5000</v>
      </c>
      <c r="J8" s="11">
        <f>(SUM(G9:$G$79)*$I$1)</f>
        <v>49831.592255736243</v>
      </c>
      <c r="K8" s="11">
        <f t="shared" si="6"/>
        <v>-4274.0209551486259</v>
      </c>
      <c r="L8" s="14">
        <v>10</v>
      </c>
      <c r="M8" s="19" t="s">
        <v>46</v>
      </c>
      <c r="N8" s="17">
        <f>SUM(I12:I19)</f>
        <v>40000</v>
      </c>
      <c r="O8" s="18">
        <f>N8/SUM($N$6:$N$9)</f>
        <v>0.39971649803463694</v>
      </c>
      <c r="Q8" s="65">
        <v>4</v>
      </c>
      <c r="R8" s="66">
        <f>Inputs!H11</f>
        <v>1.74E-4</v>
      </c>
    </row>
    <row r="9" spans="1:18" ht="15.75" thickBot="1" x14ac:dyDescent="0.3">
      <c r="A9">
        <f t="shared" si="2"/>
        <v>90</v>
      </c>
      <c r="B9">
        <v>5</v>
      </c>
      <c r="C9" s="12">
        <f t="shared" si="3"/>
        <v>0.10999299999999999</v>
      </c>
      <c r="D9" s="10">
        <f t="shared" si="4"/>
        <v>0.89000699999999999</v>
      </c>
      <c r="E9" s="198">
        <f>IF(B9&lt;=$C$2,1,IF(B9=$C$2+1,PRODUCT($D$5:D9),E8*D9))</f>
        <v>1</v>
      </c>
      <c r="F9" s="10">
        <f t="shared" si="0"/>
        <v>0.82192710675935154</v>
      </c>
      <c r="G9" s="10">
        <f t="shared" si="5"/>
        <v>0.82192710675935154</v>
      </c>
      <c r="I9" s="13">
        <f t="shared" si="1"/>
        <v>5000</v>
      </c>
      <c r="J9" s="11">
        <f>(SUM(G10:$G$79)*$I$1)</f>
        <v>45721.956721939481</v>
      </c>
      <c r="K9" s="11">
        <f t="shared" si="6"/>
        <v>-4109.6355337967616</v>
      </c>
      <c r="L9" s="14">
        <v>30</v>
      </c>
      <c r="M9" s="20" t="s">
        <v>48</v>
      </c>
      <c r="N9" s="21">
        <f>SUM(I20:I70)</f>
        <v>25070.92576032189</v>
      </c>
      <c r="O9" s="22">
        <f>N9/SUM($N$6:$N$9)</f>
        <v>0.25053156618505584</v>
      </c>
      <c r="Q9" s="65">
        <v>5</v>
      </c>
      <c r="R9" s="66">
        <f>Inputs!H12</f>
        <v>1.6799999999999999E-4</v>
      </c>
    </row>
    <row r="10" spans="1:18" x14ac:dyDescent="0.25">
      <c r="A10">
        <f t="shared" si="2"/>
        <v>91</v>
      </c>
      <c r="B10">
        <v>6</v>
      </c>
      <c r="C10" s="12">
        <f t="shared" si="3"/>
        <v>0.12311900000000001</v>
      </c>
      <c r="D10" s="10">
        <f t="shared" si="4"/>
        <v>0.87688100000000002</v>
      </c>
      <c r="E10" s="198">
        <f>IF(B10&lt;=$C$2,1,IF(B10=$C$2+1,PRODUCT($D$5:D10),E9*D10))</f>
        <v>1</v>
      </c>
      <c r="F10" s="10">
        <f t="shared" si="0"/>
        <v>0.79031452573014571</v>
      </c>
      <c r="G10" s="10">
        <f t="shared" si="5"/>
        <v>0.79031452573014571</v>
      </c>
      <c r="I10" s="13">
        <f t="shared" si="1"/>
        <v>5000</v>
      </c>
      <c r="J10" s="11">
        <f>(SUM(G11:$G$79)*$I$1)</f>
        <v>41770.384093288762</v>
      </c>
      <c r="K10" s="11">
        <f t="shared" si="6"/>
        <v>-3951.5726286507197</v>
      </c>
      <c r="L10" s="53">
        <f>+SUMPRODUCT(L6:L9,O6:O9)</f>
        <v>12.812190584510613</v>
      </c>
      <c r="O10" s="23">
        <f>SUM(O6:O9)</f>
        <v>1</v>
      </c>
      <c r="Q10" s="65">
        <v>6</v>
      </c>
      <c r="R10" s="66">
        <f>Inputs!H13</f>
        <v>1.65E-4</v>
      </c>
    </row>
    <row r="11" spans="1:18" x14ac:dyDescent="0.25">
      <c r="A11">
        <f t="shared" si="2"/>
        <v>92</v>
      </c>
      <c r="B11">
        <v>7</v>
      </c>
      <c r="C11" s="12">
        <f t="shared" si="3"/>
        <v>0.13716800000000001</v>
      </c>
      <c r="D11" s="10">
        <f t="shared" si="4"/>
        <v>0.86283200000000004</v>
      </c>
      <c r="E11" s="198">
        <f>IF(B11&lt;=$C$2,1,IF(B11=$C$2+1,PRODUCT($D$5:D11),E10*D11))</f>
        <v>1</v>
      </c>
      <c r="F11" s="10">
        <f t="shared" si="0"/>
        <v>0.75991781320206331</v>
      </c>
      <c r="G11" s="10">
        <f t="shared" si="5"/>
        <v>0.75991781320206331</v>
      </c>
      <c r="I11" s="13">
        <f t="shared" si="1"/>
        <v>5000</v>
      </c>
      <c r="J11" s="11">
        <f>(SUM(G12:$G$79)*$I$1)</f>
        <v>37970.795027278429</v>
      </c>
      <c r="K11" s="11">
        <f t="shared" si="6"/>
        <v>-3799.5890660103323</v>
      </c>
      <c r="Q11" s="65">
        <v>7</v>
      </c>
      <c r="R11" s="66">
        <f>Inputs!H14</f>
        <v>1.5899999999999999E-4</v>
      </c>
    </row>
    <row r="12" spans="1:18" x14ac:dyDescent="0.25">
      <c r="A12">
        <f t="shared" si="2"/>
        <v>93</v>
      </c>
      <c r="B12">
        <v>8</v>
      </c>
      <c r="C12" s="12">
        <f t="shared" si="3"/>
        <v>0.152171</v>
      </c>
      <c r="D12" s="10">
        <f t="shared" si="4"/>
        <v>0.84782899999999994</v>
      </c>
      <c r="E12" s="198">
        <f>IF(B12&lt;=$C$2,1,IF(B12=$C$2+1,PRODUCT($D$5:D12),E11*D12))</f>
        <v>1</v>
      </c>
      <c r="F12" s="10">
        <f t="shared" si="0"/>
        <v>0.73069020500198378</v>
      </c>
      <c r="G12" s="10">
        <f t="shared" si="5"/>
        <v>0.73069020500198378</v>
      </c>
      <c r="I12" s="13">
        <f t="shared" si="1"/>
        <v>5000</v>
      </c>
      <c r="J12" s="11">
        <f>(SUM(G13:$G$79)*$I$1)</f>
        <v>34317.34400226851</v>
      </c>
      <c r="K12" s="11">
        <f t="shared" si="6"/>
        <v>-3653.4510250099192</v>
      </c>
      <c r="Q12" s="65">
        <v>8</v>
      </c>
      <c r="R12" s="66">
        <f>Inputs!H15</f>
        <v>1.4300000000000001E-4</v>
      </c>
    </row>
    <row r="13" spans="1:18" x14ac:dyDescent="0.25">
      <c r="A13">
        <f t="shared" si="2"/>
        <v>94</v>
      </c>
      <c r="B13">
        <v>9</v>
      </c>
      <c r="C13" s="12">
        <f t="shared" si="3"/>
        <v>0.16819400000000001</v>
      </c>
      <c r="D13" s="10">
        <f t="shared" si="4"/>
        <v>0.83180600000000005</v>
      </c>
      <c r="E13" s="198">
        <f>IF(B13&lt;=$C$2,1,IF(B13=$C$2+1,PRODUCT($D$5:D13),E12*D13))</f>
        <v>1</v>
      </c>
      <c r="F13" s="10">
        <f t="shared" si="0"/>
        <v>0.70258673557883045</v>
      </c>
      <c r="G13" s="10">
        <f t="shared" si="5"/>
        <v>0.70258673557883045</v>
      </c>
      <c r="I13" s="13">
        <f t="shared" si="1"/>
        <v>5000</v>
      </c>
      <c r="J13" s="11">
        <f>(SUM(G14:$G$79)*$I$1)</f>
        <v>30804.410324374359</v>
      </c>
      <c r="K13" s="11">
        <f t="shared" si="6"/>
        <v>-3512.9336778941506</v>
      </c>
      <c r="Q13" s="65">
        <v>9</v>
      </c>
      <c r="R13" s="66">
        <f>Inputs!H16</f>
        <v>1.2899999999999999E-4</v>
      </c>
    </row>
    <row r="14" spans="1:18" x14ac:dyDescent="0.25">
      <c r="A14">
        <f t="shared" si="2"/>
        <v>95</v>
      </c>
      <c r="B14">
        <v>10</v>
      </c>
      <c r="C14" s="12">
        <f t="shared" si="3"/>
        <v>0.18526000000000001</v>
      </c>
      <c r="D14" s="10">
        <f t="shared" si="4"/>
        <v>0.81474000000000002</v>
      </c>
      <c r="E14" s="198">
        <f>IF(B14&lt;=$C$2,1,IF(B14=$C$2+1,PRODUCT($D$5:D14),E13*D14))</f>
        <v>1</v>
      </c>
      <c r="F14" s="10">
        <f t="shared" si="0"/>
        <v>0.67556416882579851</v>
      </c>
      <c r="G14" s="10">
        <f t="shared" si="5"/>
        <v>0.67556416882579851</v>
      </c>
      <c r="I14" s="13">
        <f t="shared" si="1"/>
        <v>5000</v>
      </c>
      <c r="J14" s="11">
        <f>(SUM(G15:$G$79)*$I$1)</f>
        <v>27426.589480245366</v>
      </c>
      <c r="K14" s="11">
        <f t="shared" si="6"/>
        <v>-3377.8208441289935</v>
      </c>
      <c r="Q14" s="65">
        <v>10</v>
      </c>
      <c r="R14" s="66">
        <f>Inputs!H17</f>
        <v>1.13E-4</v>
      </c>
    </row>
    <row r="15" spans="1:18" x14ac:dyDescent="0.25">
      <c r="A15">
        <f t="shared" si="2"/>
        <v>96</v>
      </c>
      <c r="B15">
        <v>11</v>
      </c>
      <c r="C15" s="12">
        <f t="shared" si="3"/>
        <v>0.197322</v>
      </c>
      <c r="D15" s="10">
        <f t="shared" si="4"/>
        <v>0.802678</v>
      </c>
      <c r="E15" s="198">
        <f>IF(B15&lt;=$C$2,1,IF(B15=$C$2+1,PRODUCT($D$5:D15),E14*D15))</f>
        <v>1</v>
      </c>
      <c r="F15" s="10">
        <f t="shared" si="0"/>
        <v>0.6495809315632679</v>
      </c>
      <c r="G15" s="10">
        <f t="shared" si="5"/>
        <v>0.6495809315632679</v>
      </c>
      <c r="I15" s="13">
        <f t="shared" si="1"/>
        <v>5000</v>
      </c>
      <c r="J15" s="11">
        <f>(SUM(G16:$G$79)*$I$1)</f>
        <v>24178.68482242903</v>
      </c>
      <c r="K15" s="11">
        <f t="shared" si="6"/>
        <v>-3247.9046578163361</v>
      </c>
      <c r="Q15" s="65">
        <v>11</v>
      </c>
      <c r="R15" s="66">
        <f>Inputs!H18</f>
        <v>1.11E-4</v>
      </c>
    </row>
    <row r="16" spans="1:18" x14ac:dyDescent="0.25">
      <c r="A16">
        <f t="shared" si="2"/>
        <v>97</v>
      </c>
      <c r="B16">
        <v>12</v>
      </c>
      <c r="C16" s="12">
        <f t="shared" si="3"/>
        <v>0.214751</v>
      </c>
      <c r="D16" s="10">
        <f t="shared" si="4"/>
        <v>0.78524899999999997</v>
      </c>
      <c r="E16" s="198">
        <f>IF(B16&lt;=$C$2,1,IF(B16=$C$2+1,PRODUCT($D$5:D16),E15*D16))</f>
        <v>1</v>
      </c>
      <c r="F16" s="10">
        <f t="shared" si="0"/>
        <v>0.62459704958006512</v>
      </c>
      <c r="G16" s="10">
        <f t="shared" si="5"/>
        <v>0.62459704958006512</v>
      </c>
      <c r="I16" s="13">
        <f t="shared" si="1"/>
        <v>5000</v>
      </c>
      <c r="J16" s="11">
        <f>(SUM(G17:$G$79)*$I$1)</f>
        <v>21055.699574528702</v>
      </c>
      <c r="K16" s="11">
        <f t="shared" si="6"/>
        <v>-3122.9852479003275</v>
      </c>
      <c r="Q16" s="65">
        <v>12</v>
      </c>
      <c r="R16" s="66">
        <f>Inputs!H19</f>
        <v>1.3200000000000001E-4</v>
      </c>
    </row>
    <row r="17" spans="1:18" x14ac:dyDescent="0.25">
      <c r="A17">
        <f t="shared" si="2"/>
        <v>98</v>
      </c>
      <c r="B17">
        <v>13</v>
      </c>
      <c r="C17" s="12">
        <f t="shared" si="3"/>
        <v>0.23250699999999999</v>
      </c>
      <c r="D17" s="10">
        <f t="shared" si="4"/>
        <v>0.76749299999999998</v>
      </c>
      <c r="E17" s="198">
        <f>IF(B17&lt;=$C$2,1,IF(B17=$C$2+1,PRODUCT($D$5:D17),E16*D17))</f>
        <v>1</v>
      </c>
      <c r="F17" s="10">
        <f t="shared" si="0"/>
        <v>0.600574086134678</v>
      </c>
      <c r="G17" s="10">
        <f t="shared" si="5"/>
        <v>0.600574086134678</v>
      </c>
      <c r="I17" s="13">
        <f t="shared" si="1"/>
        <v>5000</v>
      </c>
      <c r="J17" s="11">
        <f>(SUM(G18:$G$79)*$I$1)</f>
        <v>18052.82914385531</v>
      </c>
      <c r="K17" s="11">
        <f t="shared" si="6"/>
        <v>-3002.8704306733925</v>
      </c>
      <c r="Q17" s="65">
        <v>13</v>
      </c>
      <c r="R17" s="66">
        <f>Inputs!H20</f>
        <v>1.6899999999999999E-4</v>
      </c>
    </row>
    <row r="18" spans="1:18" x14ac:dyDescent="0.25">
      <c r="A18">
        <f t="shared" si="2"/>
        <v>99</v>
      </c>
      <c r="B18">
        <v>14</v>
      </c>
      <c r="C18" s="12">
        <f t="shared" si="3"/>
        <v>0.25039699999999998</v>
      </c>
      <c r="D18" s="10">
        <f t="shared" si="4"/>
        <v>0.74960300000000002</v>
      </c>
      <c r="E18" s="198">
        <f>IF(B18&lt;=$C$2,1,IF(B18=$C$2+1,PRODUCT($D$5:D18),E17*D18))</f>
        <v>1</v>
      </c>
      <c r="F18" s="10">
        <f t="shared" si="0"/>
        <v>0.57747508282180582</v>
      </c>
      <c r="G18" s="10">
        <f t="shared" si="5"/>
        <v>0.57747508282180582</v>
      </c>
      <c r="I18" s="13">
        <f t="shared" si="1"/>
        <v>5000</v>
      </c>
      <c r="J18" s="11">
        <f>(SUM(G19:$G$79)*$I$1)</f>
        <v>15165.453729746281</v>
      </c>
      <c r="K18" s="11">
        <f t="shared" si="6"/>
        <v>-2887.3754141090285</v>
      </c>
      <c r="Q18" s="65">
        <v>14</v>
      </c>
      <c r="R18" s="66">
        <f>Inputs!H21</f>
        <v>2.13E-4</v>
      </c>
    </row>
    <row r="19" spans="1:18" x14ac:dyDescent="0.25">
      <c r="A19">
        <f t="shared" si="2"/>
        <v>100</v>
      </c>
      <c r="B19">
        <v>15</v>
      </c>
      <c r="C19" s="12">
        <f t="shared" si="3"/>
        <v>0.26860699999999998</v>
      </c>
      <c r="D19" s="10">
        <f t="shared" si="4"/>
        <v>0.73139299999999996</v>
      </c>
      <c r="E19" s="198">
        <f>IF(B19&lt;=$C$2,1,IF(B19=$C$2+1,PRODUCT($D$5:D19),E18*D19))</f>
        <v>1</v>
      </c>
      <c r="F19" s="10">
        <f t="shared" si="0"/>
        <v>0.55526450271327477</v>
      </c>
      <c r="G19" s="10">
        <f t="shared" si="5"/>
        <v>0.55526450271327477</v>
      </c>
      <c r="I19" s="13">
        <f t="shared" si="1"/>
        <v>5000</v>
      </c>
      <c r="J19" s="11">
        <f>(SUM(G20:$G$79)*$I$1)</f>
        <v>12389.131216179907</v>
      </c>
      <c r="K19" s="11">
        <f t="shared" si="6"/>
        <v>-2776.3225135663743</v>
      </c>
      <c r="Q19" s="65">
        <v>15</v>
      </c>
      <c r="R19" s="66">
        <f>Inputs!H22</f>
        <v>2.5399999999999999E-4</v>
      </c>
    </row>
    <row r="20" spans="1:18" x14ac:dyDescent="0.25">
      <c r="A20">
        <f t="shared" si="2"/>
        <v>101</v>
      </c>
      <c r="B20">
        <v>16</v>
      </c>
      <c r="C20" s="12">
        <f t="shared" si="3"/>
        <v>0.290016</v>
      </c>
      <c r="D20" s="10">
        <f t="shared" si="4"/>
        <v>0.70998399999999995</v>
      </c>
      <c r="E20" s="198">
        <f>IF(B20&lt;=$C$2,1,IF(B20=$C$2+1,PRODUCT($D$5:D20),E19*D20))</f>
        <v>1</v>
      </c>
      <c r="F20" s="10">
        <f t="shared" si="0"/>
        <v>0.53390817568584104</v>
      </c>
      <c r="G20" s="10">
        <f t="shared" si="5"/>
        <v>0.53390817568584104</v>
      </c>
      <c r="I20" s="13">
        <f t="shared" si="1"/>
        <v>5000</v>
      </c>
      <c r="J20" s="11">
        <f>(SUM(G21:$G$79)*$I$1)</f>
        <v>9719.5903377507075</v>
      </c>
      <c r="K20" s="11">
        <f t="shared" si="6"/>
        <v>-2669.5408784291994</v>
      </c>
      <c r="Q20" s="65">
        <v>16</v>
      </c>
      <c r="R20" s="66">
        <f>Inputs!H23</f>
        <v>2.9300000000000002E-4</v>
      </c>
    </row>
    <row r="21" spans="1:18" x14ac:dyDescent="0.25">
      <c r="A21">
        <f t="shared" si="2"/>
        <v>102</v>
      </c>
      <c r="B21">
        <v>17</v>
      </c>
      <c r="C21" s="12">
        <f t="shared" si="3"/>
        <v>0.31184899999999999</v>
      </c>
      <c r="D21" s="10">
        <f t="shared" si="4"/>
        <v>0.68815099999999996</v>
      </c>
      <c r="E21" s="198">
        <f>IF(B21&lt;=$C$2,1,IF(B21=$C$2+1,PRODUCT($D$5:D21),E20*D21))</f>
        <v>1</v>
      </c>
      <c r="F21" s="10">
        <f t="shared" si="0"/>
        <v>0.51337324585177024</v>
      </c>
      <c r="G21" s="10">
        <f t="shared" si="5"/>
        <v>0.51337324585177024</v>
      </c>
      <c r="I21" s="13">
        <f t="shared" si="1"/>
        <v>5000</v>
      </c>
      <c r="J21" s="11">
        <f>(SUM(G22:$G$79)*$I$1)</f>
        <v>7152.7241084918551</v>
      </c>
      <c r="K21" s="11">
        <f t="shared" si="6"/>
        <v>-2566.8662292588524</v>
      </c>
      <c r="Q21" s="65">
        <v>17</v>
      </c>
      <c r="R21" s="66">
        <f>Inputs!H24</f>
        <v>3.28E-4</v>
      </c>
    </row>
    <row r="22" spans="1:18" x14ac:dyDescent="0.25">
      <c r="A22">
        <f t="shared" si="2"/>
        <v>103</v>
      </c>
      <c r="B22">
        <v>18</v>
      </c>
      <c r="C22" s="12">
        <f t="shared" si="3"/>
        <v>0.33396199999999998</v>
      </c>
      <c r="D22" s="10">
        <f t="shared" si="4"/>
        <v>0.66603800000000002</v>
      </c>
      <c r="E22" s="198">
        <f>IF(B22&lt;=$C$2,1,IF(B22=$C$2+1,PRODUCT($D$5:D22),E21*D22))</f>
        <v>1</v>
      </c>
      <c r="F22" s="10">
        <f t="shared" si="0"/>
        <v>0.49362812101131748</v>
      </c>
      <c r="G22" s="10">
        <f t="shared" si="5"/>
        <v>0.49362812101131748</v>
      </c>
      <c r="I22" s="13">
        <f t="shared" si="1"/>
        <v>5000</v>
      </c>
      <c r="J22" s="11">
        <f>(SUM(G23:$G$79)*$I$1)</f>
        <v>4684.5835034352658</v>
      </c>
      <c r="K22" s="11">
        <f t="shared" si="6"/>
        <v>-2468.1406050565893</v>
      </c>
      <c r="Q22" s="65">
        <v>18</v>
      </c>
      <c r="R22" s="66">
        <f>Inputs!H25</f>
        <v>3.59E-4</v>
      </c>
    </row>
    <row r="23" spans="1:18" x14ac:dyDescent="0.25">
      <c r="A23">
        <f t="shared" si="2"/>
        <v>104</v>
      </c>
      <c r="B23">
        <v>19</v>
      </c>
      <c r="C23" s="12">
        <f t="shared" si="3"/>
        <v>0.356207</v>
      </c>
      <c r="D23" s="10">
        <f t="shared" si="4"/>
        <v>0.64379300000000006</v>
      </c>
      <c r="E23" s="198">
        <f>IF(B23&lt;=$C$2,1,IF(B23=$C$2+1,PRODUCT($D$5:D23),E22*D23))</f>
        <v>1</v>
      </c>
      <c r="F23" s="10">
        <f t="shared" si="0"/>
        <v>0.47464242404934376</v>
      </c>
      <c r="G23" s="10">
        <f t="shared" si="5"/>
        <v>0.47464242404934376</v>
      </c>
      <c r="I23" s="13">
        <f t="shared" si="1"/>
        <v>5000</v>
      </c>
      <c r="J23" s="11">
        <f>(SUM(G24:$G$79)*$I$1)</f>
        <v>2311.3713831885475</v>
      </c>
      <c r="K23" s="11">
        <f t="shared" si="6"/>
        <v>-2373.2121202467183</v>
      </c>
      <c r="Q23" s="65">
        <v>19</v>
      </c>
      <c r="R23" s="66">
        <f>Inputs!H26</f>
        <v>3.8699999999999997E-4</v>
      </c>
    </row>
    <row r="24" spans="1:18" x14ac:dyDescent="0.25">
      <c r="A24">
        <f t="shared" si="2"/>
        <v>105</v>
      </c>
      <c r="B24">
        <v>20</v>
      </c>
      <c r="C24" s="12">
        <f t="shared" si="3"/>
        <v>0.38</v>
      </c>
      <c r="D24" s="10">
        <f t="shared" si="4"/>
        <v>0.62</v>
      </c>
      <c r="E24" s="198">
        <f>IF(B24&lt;=$C$2,1,IF(B24=$C$2+1,PRODUCT($D$5:D24),E23*D24))</f>
        <v>1</v>
      </c>
      <c r="F24" s="10">
        <f t="shared" si="0"/>
        <v>0.45638694620129205</v>
      </c>
      <c r="G24" s="10">
        <f t="shared" si="5"/>
        <v>0.45638694620129205</v>
      </c>
      <c r="I24" s="13">
        <f t="shared" si="1"/>
        <v>5000</v>
      </c>
      <c r="J24" s="11">
        <f>(SUM(G25:$G$79)*$I$1)</f>
        <v>29.436652182086902</v>
      </c>
      <c r="K24" s="11">
        <f t="shared" si="6"/>
        <v>-2281.9347310064604</v>
      </c>
      <c r="Q24" s="65">
        <v>20</v>
      </c>
      <c r="R24" s="66">
        <f>Inputs!H27</f>
        <v>4.1399999999999998E-4</v>
      </c>
    </row>
    <row r="25" spans="1:18" x14ac:dyDescent="0.25">
      <c r="A25">
        <f t="shared" si="2"/>
        <v>106</v>
      </c>
      <c r="B25">
        <v>21</v>
      </c>
      <c r="C25" s="12">
        <f t="shared" si="3"/>
        <v>0.4</v>
      </c>
      <c r="D25" s="10">
        <f t="shared" si="4"/>
        <v>0.6</v>
      </c>
      <c r="E25" s="198">
        <f>IF(B25&lt;=$C$2,1,IF(B25=$C$2+1,PRODUCT($D$5:D25),E24*D25))</f>
        <v>5.6785107432280376E-3</v>
      </c>
      <c r="F25" s="10">
        <f t="shared" si="0"/>
        <v>0.43883360211662686</v>
      </c>
      <c r="G25" s="10">
        <f t="shared" si="5"/>
        <v>2.4919213241087236E-3</v>
      </c>
      <c r="I25" s="13">
        <f t="shared" si="1"/>
        <v>28.392553716140188</v>
      </c>
      <c r="J25" s="11">
        <f>(SUM(G26:$G$79)*$I$1)</f>
        <v>16.977045561543285</v>
      </c>
      <c r="K25" s="11">
        <f t="shared" si="6"/>
        <v>-12.459606620543617</v>
      </c>
      <c r="Q25" s="65">
        <v>21</v>
      </c>
      <c r="R25" s="66">
        <f>Inputs!H28</f>
        <v>4.4299999999999998E-4</v>
      </c>
    </row>
    <row r="26" spans="1:18" x14ac:dyDescent="0.25">
      <c r="A26">
        <f t="shared" si="2"/>
        <v>107</v>
      </c>
      <c r="B26">
        <v>22</v>
      </c>
      <c r="C26" s="12">
        <f t="shared" si="3"/>
        <v>0.4</v>
      </c>
      <c r="D26" s="10">
        <f t="shared" si="4"/>
        <v>0.6</v>
      </c>
      <c r="E26" s="198">
        <f>IF(B26&lt;=$C$2,1,IF(B26=$C$2+1,PRODUCT($D$5:D26),E25*D26))</f>
        <v>3.4071064459368226E-3</v>
      </c>
      <c r="F26" s="10">
        <f t="shared" si="0"/>
        <v>0.42195538665060278</v>
      </c>
      <c r="G26" s="10">
        <f t="shared" si="5"/>
        <v>1.4376469177550331E-3</v>
      </c>
      <c r="I26" s="13">
        <f t="shared" si="1"/>
        <v>17.035532229684112</v>
      </c>
      <c r="J26" s="11">
        <f>(SUM(G27:$G$79)*$I$1)</f>
        <v>9.7888109727681183</v>
      </c>
      <c r="K26" s="11">
        <f t="shared" si="6"/>
        <v>-7.1882345887751669</v>
      </c>
      <c r="Q26" s="65">
        <v>22</v>
      </c>
      <c r="R26" s="66">
        <f>Inputs!H29</f>
        <v>4.73E-4</v>
      </c>
    </row>
    <row r="27" spans="1:18" x14ac:dyDescent="0.25">
      <c r="A27">
        <f t="shared" si="2"/>
        <v>108</v>
      </c>
      <c r="B27">
        <v>23</v>
      </c>
      <c r="C27" s="12">
        <f t="shared" si="3"/>
        <v>0.4</v>
      </c>
      <c r="D27" s="10">
        <f t="shared" si="4"/>
        <v>0.6</v>
      </c>
      <c r="E27" s="198">
        <f>IF(B27&lt;=$C$2,1,IF(B27=$C$2+1,PRODUCT($D$5:D27),E26*D27))</f>
        <v>2.0442638675620935E-3</v>
      </c>
      <c r="F27" s="10">
        <f t="shared" si="0"/>
        <v>0.40572633331788732</v>
      </c>
      <c r="G27" s="10">
        <f t="shared" si="5"/>
        <v>8.2941168332021145E-4</v>
      </c>
      <c r="I27" s="13">
        <f t="shared" si="1"/>
        <v>10.221319337810467</v>
      </c>
      <c r="J27" s="11">
        <f>(SUM(G28:$G$79)*$I$1)</f>
        <v>5.6417525561670621</v>
      </c>
      <c r="K27" s="11">
        <f t="shared" si="6"/>
        <v>-4.1470584166010562</v>
      </c>
      <c r="Q27" s="65">
        <v>23</v>
      </c>
      <c r="R27" s="66">
        <f>Inputs!H30</f>
        <v>5.13E-4</v>
      </c>
    </row>
    <row r="28" spans="1:18" x14ac:dyDescent="0.25">
      <c r="A28">
        <f t="shared" si="2"/>
        <v>109</v>
      </c>
      <c r="B28">
        <v>24</v>
      </c>
      <c r="C28" s="12">
        <f t="shared" si="3"/>
        <v>0.4</v>
      </c>
      <c r="D28" s="10">
        <f t="shared" si="4"/>
        <v>0.6</v>
      </c>
      <c r="E28" s="198">
        <f>IF(B28&lt;=$C$2,1,IF(B28=$C$2+1,PRODUCT($D$5:D28),E27*D28))</f>
        <v>1.226558320537256E-3</v>
      </c>
      <c r="F28" s="10">
        <f t="shared" si="0"/>
        <v>0.39012147434412242</v>
      </c>
      <c r="G28" s="10">
        <f t="shared" si="5"/>
        <v>4.7850674037704501E-4</v>
      </c>
      <c r="I28" s="13">
        <f t="shared" si="1"/>
        <v>6.1327916026862797</v>
      </c>
      <c r="J28" s="11">
        <f>(SUM(G29:$G$79)*$I$1)</f>
        <v>3.2492188542818363</v>
      </c>
      <c r="K28" s="11">
        <f t="shared" si="6"/>
        <v>-2.3925337018852257</v>
      </c>
      <c r="Q28" s="65">
        <v>24</v>
      </c>
      <c r="R28" s="66">
        <f>Inputs!H31</f>
        <v>5.5400000000000002E-4</v>
      </c>
    </row>
    <row r="29" spans="1:18" x14ac:dyDescent="0.25">
      <c r="A29">
        <f t="shared" si="2"/>
        <v>110</v>
      </c>
      <c r="B29">
        <v>25</v>
      </c>
      <c r="C29" s="12">
        <f t="shared" si="3"/>
        <v>0.4</v>
      </c>
      <c r="D29" s="10">
        <f t="shared" si="4"/>
        <v>0.6</v>
      </c>
      <c r="E29" s="198">
        <f>IF(B29&lt;=$C$2,1,IF(B29=$C$2+1,PRODUCT($D$5:D29),E28*D29))</f>
        <v>7.3593499232235357E-4</v>
      </c>
      <c r="F29" s="10">
        <f t="shared" si="0"/>
        <v>0.37511680225396377</v>
      </c>
      <c r="G29" s="10">
        <f t="shared" si="5"/>
        <v>2.7606158098675667E-4</v>
      </c>
      <c r="I29" s="13">
        <f t="shared" si="1"/>
        <v>3.6796749616117679</v>
      </c>
      <c r="J29" s="11">
        <f>(SUM(G30:$G$79)*$I$1)</f>
        <v>1.8689109493480531</v>
      </c>
      <c r="K29" s="11">
        <f t="shared" si="6"/>
        <v>-1.3803079049337832</v>
      </c>
      <c r="Q29" s="65">
        <v>25</v>
      </c>
      <c r="R29" s="66">
        <f>Inputs!H32</f>
        <v>6.02E-4</v>
      </c>
    </row>
    <row r="30" spans="1:18" x14ac:dyDescent="0.25">
      <c r="A30">
        <f t="shared" si="2"/>
        <v>111</v>
      </c>
      <c r="B30">
        <v>26</v>
      </c>
      <c r="C30" s="12">
        <f t="shared" si="3"/>
        <v>0.4</v>
      </c>
      <c r="D30" s="10">
        <f t="shared" si="4"/>
        <v>0.6</v>
      </c>
      <c r="E30" s="198">
        <f>IF(B30&lt;=$C$2,1,IF(B30=$C$2+1,PRODUCT($D$5:D30),E29*D30))</f>
        <v>4.4156099539341214E-4</v>
      </c>
      <c r="F30" s="10">
        <f t="shared" si="0"/>
        <v>0.36068923293650368</v>
      </c>
      <c r="G30" s="10">
        <f t="shared" si="5"/>
        <v>1.5926629672312887E-4</v>
      </c>
      <c r="I30" s="13">
        <f t="shared" si="1"/>
        <v>2.2078049769670609</v>
      </c>
      <c r="J30" s="11">
        <f>(SUM(G31:$G$79)*$I$1)</f>
        <v>1.0725794657324088</v>
      </c>
      <c r="K30" s="11">
        <f t="shared" si="6"/>
        <v>-0.79633148361564432</v>
      </c>
      <c r="Q30" s="65">
        <v>26</v>
      </c>
      <c r="R30" s="66">
        <f>Inputs!H33</f>
        <v>6.5499999999999998E-4</v>
      </c>
    </row>
    <row r="31" spans="1:18" x14ac:dyDescent="0.25">
      <c r="A31">
        <f t="shared" si="2"/>
        <v>112</v>
      </c>
      <c r="B31">
        <v>27</v>
      </c>
      <c r="C31" s="12">
        <f t="shared" si="3"/>
        <v>0.4</v>
      </c>
      <c r="D31" s="10">
        <f t="shared" si="4"/>
        <v>0.6</v>
      </c>
      <c r="E31" s="198">
        <f>IF(B31&lt;=$C$2,1,IF(B31=$C$2+1,PRODUCT($D$5:D31),E30*D31))</f>
        <v>2.6493659723604725E-4</v>
      </c>
      <c r="F31" s="10">
        <f t="shared" si="0"/>
        <v>0.3468165701312535</v>
      </c>
      <c r="G31" s="10">
        <f t="shared" si="5"/>
        <v>9.1884401955651248E-5</v>
      </c>
      <c r="I31" s="13">
        <f t="shared" si="1"/>
        <v>1.3246829861802363</v>
      </c>
      <c r="J31" s="11">
        <f>(SUM(G32:$G$79)*$I$1)</f>
        <v>0.61315745595415272</v>
      </c>
      <c r="K31" s="11">
        <f t="shared" si="6"/>
        <v>-0.45942200977825609</v>
      </c>
      <c r="Q31" s="65">
        <v>27</v>
      </c>
      <c r="R31" s="66">
        <f>Inputs!H34</f>
        <v>6.8800000000000003E-4</v>
      </c>
    </row>
    <row r="32" spans="1:18" x14ac:dyDescent="0.25">
      <c r="A32">
        <f t="shared" si="2"/>
        <v>113</v>
      </c>
      <c r="B32">
        <v>28</v>
      </c>
      <c r="C32" s="12">
        <f t="shared" si="3"/>
        <v>0.4</v>
      </c>
      <c r="D32" s="10">
        <f t="shared" si="4"/>
        <v>0.6</v>
      </c>
      <c r="E32" s="198">
        <f>IF(B32&lt;=$C$2,1,IF(B32=$C$2+1,PRODUCT($D$5:D32),E31*D32))</f>
        <v>1.5896195834162836E-4</v>
      </c>
      <c r="F32" s="10">
        <f t="shared" si="0"/>
        <v>0.3334774712800514</v>
      </c>
      <c r="G32" s="10">
        <f t="shared" si="5"/>
        <v>5.3010231897491094E-5</v>
      </c>
      <c r="I32" s="13">
        <f t="shared" si="1"/>
        <v>0.79480979170814181</v>
      </c>
      <c r="J32" s="11">
        <f>(SUM(G33:$G$79)*$I$1)</f>
        <v>0.34810629646669722</v>
      </c>
      <c r="K32" s="11">
        <f t="shared" si="6"/>
        <v>-0.2650511594874555</v>
      </c>
      <c r="Q32" s="65">
        <v>28</v>
      </c>
      <c r="R32" s="66">
        <f>Inputs!H35</f>
        <v>7.1000000000000002E-4</v>
      </c>
    </row>
    <row r="33" spans="1:18" x14ac:dyDescent="0.25">
      <c r="A33">
        <f t="shared" si="2"/>
        <v>114</v>
      </c>
      <c r="B33">
        <v>29</v>
      </c>
      <c r="C33" s="12">
        <f t="shared" si="3"/>
        <v>0.4</v>
      </c>
      <c r="D33" s="10">
        <f t="shared" si="4"/>
        <v>0.6</v>
      </c>
      <c r="E33" s="198">
        <f>IF(B33&lt;=$C$2,1,IF(B33=$C$2+1,PRODUCT($D$5:D33),E32*D33))</f>
        <v>9.5377175004977014E-5</v>
      </c>
      <c r="F33" s="10">
        <f t="shared" si="0"/>
        <v>0.32065141469235708</v>
      </c>
      <c r="G33" s="10">
        <f t="shared" si="5"/>
        <v>3.0582826094706401E-5</v>
      </c>
      <c r="I33" s="13">
        <f t="shared" si="1"/>
        <v>0.47688587502488505</v>
      </c>
      <c r="J33" s="11">
        <f>(SUM(G34:$G$79)*$I$1)</f>
        <v>0.19519216599316516</v>
      </c>
      <c r="K33" s="11">
        <f t="shared" si="6"/>
        <v>-0.15291413047353206</v>
      </c>
      <c r="Q33" s="65">
        <v>29</v>
      </c>
      <c r="R33" s="66">
        <f>Inputs!H36</f>
        <v>7.27E-4</v>
      </c>
    </row>
    <row r="34" spans="1:18" x14ac:dyDescent="0.25">
      <c r="A34">
        <f t="shared" si="2"/>
        <v>115</v>
      </c>
      <c r="B34">
        <v>30</v>
      </c>
      <c r="C34" s="12">
        <f t="shared" si="3"/>
        <v>0.4</v>
      </c>
      <c r="D34" s="10">
        <f t="shared" si="4"/>
        <v>0.6</v>
      </c>
      <c r="E34" s="198">
        <f>IF(B34&lt;=$C$2,1,IF(B34=$C$2+1,PRODUCT($D$5:D34),E33*D34))</f>
        <v>5.7226305002986203E-5</v>
      </c>
      <c r="F34" s="10">
        <f t="shared" si="0"/>
        <v>0.30831866797342034</v>
      </c>
      <c r="G34" s="10">
        <f t="shared" si="5"/>
        <v>1.7643938131561387E-5</v>
      </c>
      <c r="I34" s="13">
        <f t="shared" si="1"/>
        <v>0.286131525014931</v>
      </c>
      <c r="J34" s="11">
        <f>(SUM(G35:$G$79)*$I$1)</f>
        <v>0.10697247533535828</v>
      </c>
      <c r="K34" s="11">
        <f t="shared" si="6"/>
        <v>-8.8219690657806882E-2</v>
      </c>
      <c r="Q34" s="65">
        <v>30</v>
      </c>
      <c r="R34" s="66">
        <f>Inputs!H37</f>
        <v>7.4100000000000001E-4</v>
      </c>
    </row>
    <row r="35" spans="1:18" x14ac:dyDescent="0.25">
      <c r="A35">
        <f t="shared" si="2"/>
        <v>116</v>
      </c>
      <c r="B35">
        <v>31</v>
      </c>
      <c r="C35" s="12">
        <f t="shared" si="3"/>
        <v>0.4</v>
      </c>
      <c r="D35" s="10">
        <f t="shared" si="4"/>
        <v>0.6</v>
      </c>
      <c r="E35" s="198">
        <f>IF(B35&lt;=$C$2,1,IF(B35=$C$2+1,PRODUCT($D$5:D35),E34*D35))</f>
        <v>3.4335783001791723E-5</v>
      </c>
      <c r="F35" s="10">
        <f t="shared" si="0"/>
        <v>0.29646025766675027</v>
      </c>
      <c r="G35" s="10">
        <f t="shared" si="5"/>
        <v>1.0179195075900798E-5</v>
      </c>
      <c r="I35" s="13">
        <f t="shared" si="1"/>
        <v>0.17167891500895863</v>
      </c>
      <c r="J35" s="11">
        <f>(SUM(G36:$G$79)*$I$1)</f>
        <v>5.6076499955854273E-2</v>
      </c>
      <c r="K35" s="11">
        <f t="shared" si="6"/>
        <v>-5.0895975379504008E-2</v>
      </c>
      <c r="Q35" s="65">
        <v>31</v>
      </c>
      <c r="R35" s="66">
        <f>Inputs!H38</f>
        <v>7.5100000000000004E-4</v>
      </c>
    </row>
    <row r="36" spans="1:18" x14ac:dyDescent="0.25">
      <c r="A36">
        <f t="shared" si="2"/>
        <v>117</v>
      </c>
      <c r="B36">
        <v>32</v>
      </c>
      <c r="C36" s="12">
        <f t="shared" si="3"/>
        <v>0.4</v>
      </c>
      <c r="D36" s="10">
        <f t="shared" si="4"/>
        <v>0.6</v>
      </c>
      <c r="E36" s="198">
        <f>IF(B36&lt;=$C$2,1,IF(B36=$C$2+1,PRODUCT($D$5:D36),E35*D36))</f>
        <v>2.0601469801075034E-5</v>
      </c>
      <c r="F36" s="10">
        <f t="shared" si="0"/>
        <v>0.28505794006418295</v>
      </c>
      <c r="G36" s="10">
        <f t="shared" si="5"/>
        <v>5.872612543788922E-6</v>
      </c>
      <c r="I36" s="13">
        <f t="shared" si="1"/>
        <v>0.10300734900537517</v>
      </c>
      <c r="J36" s="11">
        <f>(SUM(G37:$G$79)*$I$1)</f>
        <v>2.6713437236909669E-2</v>
      </c>
      <c r="K36" s="11">
        <f t="shared" si="6"/>
        <v>-2.9363062718944604E-2</v>
      </c>
      <c r="Q36" s="65">
        <v>32</v>
      </c>
      <c r="R36" s="66">
        <f>Inputs!H39</f>
        <v>7.54E-4</v>
      </c>
    </row>
    <row r="37" spans="1:18" x14ac:dyDescent="0.25">
      <c r="A37">
        <f t="shared" si="2"/>
        <v>118</v>
      </c>
      <c r="B37">
        <v>33</v>
      </c>
      <c r="C37" s="12">
        <f t="shared" si="3"/>
        <v>0.4</v>
      </c>
      <c r="D37" s="10">
        <f t="shared" si="4"/>
        <v>0.6</v>
      </c>
      <c r="E37" s="198">
        <f>IF(B37&lt;=$C$2,1,IF(B37=$C$2+1,PRODUCT($D$5:D37),E36*D37))</f>
        <v>1.2360881880645021E-5</v>
      </c>
      <c r="F37" s="10">
        <f t="shared" si="0"/>
        <v>0.27409417313863743</v>
      </c>
      <c r="G37" s="10">
        <f t="shared" si="5"/>
        <v>3.3880456983397627E-6</v>
      </c>
      <c r="I37" s="13">
        <f t="shared" si="1"/>
        <v>6.1804409403225104E-2</v>
      </c>
      <c r="J37" s="11">
        <f>(SUM(G38:$G$79)*$I$1)</f>
        <v>9.7732087452108516E-3</v>
      </c>
      <c r="K37" s="11">
        <f t="shared" si="6"/>
        <v>-1.6940228491698815E-2</v>
      </c>
      <c r="Q37" s="65">
        <v>33</v>
      </c>
      <c r="R37" s="66">
        <f>Inputs!H40</f>
        <v>7.5600000000000005E-4</v>
      </c>
    </row>
    <row r="38" spans="1:18" x14ac:dyDescent="0.25">
      <c r="A38">
        <f t="shared" si="2"/>
        <v>119</v>
      </c>
      <c r="B38">
        <v>34</v>
      </c>
      <c r="C38" s="12">
        <f t="shared" si="3"/>
        <v>0.4</v>
      </c>
      <c r="D38" s="10">
        <f t="shared" si="4"/>
        <v>0.6</v>
      </c>
      <c r="E38" s="198">
        <f>IF(B38&lt;=$C$2,1,IF(B38=$C$2+1,PRODUCT($D$5:D38),E37*D38))</f>
        <v>7.4165291283870117E-6</v>
      </c>
      <c r="F38" s="10">
        <f t="shared" si="0"/>
        <v>0.26355208955638215</v>
      </c>
      <c r="G38" s="10">
        <f t="shared" si="5"/>
        <v>1.9546417490421704E-6</v>
      </c>
      <c r="I38" s="13">
        <f t="shared" si="1"/>
        <v>3.7082645641935058E-2</v>
      </c>
      <c r="J38" s="11">
        <f>(SUM(G39:$G$79)*$I$1)</f>
        <v>0</v>
      </c>
      <c r="K38" s="11">
        <f t="shared" si="6"/>
        <v>-9.7732087452108516E-3</v>
      </c>
      <c r="Q38" s="65">
        <v>34</v>
      </c>
      <c r="R38" s="66">
        <f>Inputs!H41</f>
        <v>7.5600000000000005E-4</v>
      </c>
    </row>
    <row r="39" spans="1:18" x14ac:dyDescent="0.25">
      <c r="A39">
        <f t="shared" si="2"/>
        <v>120</v>
      </c>
      <c r="B39">
        <v>35</v>
      </c>
      <c r="C39" s="12">
        <f t="shared" si="3"/>
        <v>1</v>
      </c>
      <c r="D39" s="10">
        <f t="shared" si="4"/>
        <v>0</v>
      </c>
      <c r="E39" s="198">
        <f>IF(B39&lt;=$C$2,1,IF(B39=$C$2+1,PRODUCT($D$5:D39),E38*D39))</f>
        <v>0</v>
      </c>
      <c r="F39" s="10">
        <f t="shared" si="0"/>
        <v>0</v>
      </c>
      <c r="G39" s="10">
        <f t="shared" si="5"/>
        <v>0</v>
      </c>
      <c r="I39" s="13">
        <f t="shared" si="1"/>
        <v>0</v>
      </c>
      <c r="J39" s="11">
        <f>(SUM(G40:$G$79)*$I$1)</f>
        <v>0</v>
      </c>
      <c r="K39" s="11">
        <f t="shared" si="6"/>
        <v>0</v>
      </c>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9">
    <cfRule type="cellIs" dxfId="11"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8" workbookViewId="0">
      <selection activeCell="D127" sqref="D127:F134"/>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70</v>
      </c>
      <c r="I1" s="3">
        <v>5000</v>
      </c>
      <c r="J1" s="181" t="s">
        <v>173</v>
      </c>
      <c r="L1" s="1"/>
      <c r="M1" s="4"/>
      <c r="N1" s="4"/>
      <c r="O1" s="4"/>
      <c r="P1" s="4"/>
      <c r="Q1" s="64"/>
      <c r="R1" s="28"/>
    </row>
    <row r="2" spans="1:18" ht="15.75" customHeight="1" thickBot="1" x14ac:dyDescent="0.3">
      <c r="B2" t="s">
        <v>227</v>
      </c>
      <c r="C2">
        <v>0</v>
      </c>
      <c r="F2" s="5">
        <f>'Asset and Liability Durations'!N31</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9">
        <f>+SUMPRODUCT(B5:B59,I5:I59,F5:F59)/SUMPRODUCT(F5:F59,I5:I59)</f>
        <v>3.9767547249140267</v>
      </c>
      <c r="N3" s="10"/>
      <c r="O3" s="10"/>
      <c r="P3" s="10"/>
      <c r="Q3" s="31"/>
      <c r="R3" s="32"/>
    </row>
    <row r="4" spans="1:18" x14ac:dyDescent="0.25">
      <c r="A4">
        <v>90</v>
      </c>
      <c r="B4">
        <v>0</v>
      </c>
      <c r="C4" s="8"/>
      <c r="D4" s="7"/>
      <c r="E4" s="7"/>
      <c r="F4" s="7"/>
      <c r="G4" s="10">
        <v>1</v>
      </c>
      <c r="J4" s="11">
        <f>(SUM(G5:$G$79)*$I$1)</f>
        <v>19485.797533124856</v>
      </c>
      <c r="Q4" s="65">
        <v>0</v>
      </c>
      <c r="R4" s="66">
        <f>Inputs!H7</f>
        <v>1.6050000000000001E-3</v>
      </c>
    </row>
    <row r="5" spans="1:18" ht="15.75" thickBot="1" x14ac:dyDescent="0.3">
      <c r="A5">
        <f>B5+$A$4</f>
        <v>91</v>
      </c>
      <c r="B5">
        <v>1</v>
      </c>
      <c r="C5" s="12">
        <f>VLOOKUP(A5,$Q$4:$R$124,2,FALSE)</f>
        <v>0.12311900000000001</v>
      </c>
      <c r="D5" s="10">
        <f>1-C5</f>
        <v>0.87688100000000002</v>
      </c>
      <c r="E5" s="198">
        <f>IF(B5&lt;=$C$2,1,IF(B5=$C$2+1,PRODUCT($D$5:D5),E4*D5))</f>
        <v>0.87688100000000002</v>
      </c>
      <c r="F5" s="10">
        <f t="shared" ref="F5:F34" si="0">IF(D5=0,0,(1+$F$2)^-B5)</f>
        <v>0.96153846153846145</v>
      </c>
      <c r="G5" s="10">
        <f>F5*E5</f>
        <v>0.84315480769230766</v>
      </c>
      <c r="I5" s="13">
        <f t="shared" ref="I5:I34" si="1">E5*$I$1</f>
        <v>4384.4049999999997</v>
      </c>
      <c r="J5" s="11">
        <f>(SUM(G6:$G$79)*$I$1)</f>
        <v>15270.023494663319</v>
      </c>
      <c r="K5" s="11">
        <f>J5-J4</f>
        <v>-4215.7740384615372</v>
      </c>
      <c r="L5" s="14" t="s">
        <v>16</v>
      </c>
      <c r="M5" s="14" t="s">
        <v>17</v>
      </c>
      <c r="N5" s="14" t="s">
        <v>18</v>
      </c>
      <c r="O5" s="14" t="s">
        <v>47</v>
      </c>
      <c r="Q5" s="65">
        <v>1</v>
      </c>
      <c r="R5" s="66">
        <f>Inputs!H8</f>
        <v>4.0099999999999999E-4</v>
      </c>
    </row>
    <row r="6" spans="1:18" x14ac:dyDescent="0.25">
      <c r="A6">
        <f t="shared" ref="A6:A34" si="2">B6+$A$4</f>
        <v>92</v>
      </c>
      <c r="B6">
        <v>2</v>
      </c>
      <c r="C6" s="12">
        <f t="shared" ref="C6:C34" si="3">VLOOKUP(A6,$Q$4:$R$124,2,FALSE)</f>
        <v>0.13716800000000001</v>
      </c>
      <c r="D6" s="10">
        <f t="shared" ref="D6:D34" si="4">1-C6</f>
        <v>0.86283200000000004</v>
      </c>
      <c r="E6" s="198">
        <f>IF(B6&lt;=$C$2,1,IF(B6=$C$2+1,PRODUCT($D$5:D6),E5*D6))</f>
        <v>0.75660098699200007</v>
      </c>
      <c r="F6" s="10">
        <f t="shared" si="0"/>
        <v>0.92455621301775137</v>
      </c>
      <c r="G6" s="10">
        <f t="shared" ref="G6:G34" si="5">F6*E6</f>
        <v>0.69952014329881651</v>
      </c>
      <c r="I6" s="13">
        <f t="shared" si="1"/>
        <v>3783.0049349600004</v>
      </c>
      <c r="J6" s="11">
        <f>(SUM(G7:$G$79)*$I$1)</f>
        <v>11772.422778169233</v>
      </c>
      <c r="K6" s="11">
        <f t="shared" ref="K6:K34" si="6">J6-J5</f>
        <v>-3497.6007164940856</v>
      </c>
      <c r="L6" s="14">
        <v>2</v>
      </c>
      <c r="M6" s="54" t="s">
        <v>44</v>
      </c>
      <c r="N6" s="15">
        <f>SUM(I5:I7)</f>
        <v>11374.751225962202</v>
      </c>
      <c r="O6" s="16">
        <f>N6/SUM($N$6:$N$9)</f>
        <v>0.4959846230095516</v>
      </c>
      <c r="Q6" s="65">
        <v>2</v>
      </c>
      <c r="R6" s="66">
        <f>Inputs!H9</f>
        <v>2.7500000000000002E-4</v>
      </c>
    </row>
    <row r="7" spans="1:18" x14ac:dyDescent="0.25">
      <c r="A7">
        <f t="shared" si="2"/>
        <v>93</v>
      </c>
      <c r="B7">
        <v>3</v>
      </c>
      <c r="C7" s="12">
        <f t="shared" si="3"/>
        <v>0.152171</v>
      </c>
      <c r="D7" s="10">
        <f t="shared" si="4"/>
        <v>0.84782899999999994</v>
      </c>
      <c r="E7" s="198">
        <f>IF(B7&lt;=$C$2,1,IF(B7=$C$2+1,PRODUCT($D$5:D7),E6*D7))</f>
        <v>0.6414682582004404</v>
      </c>
      <c r="F7" s="10">
        <f t="shared" si="0"/>
        <v>0.88899635867091487</v>
      </c>
      <c r="G7" s="10">
        <f t="shared" si="5"/>
        <v>0.57026294574316572</v>
      </c>
      <c r="I7" s="13">
        <f t="shared" si="1"/>
        <v>3207.3412910022021</v>
      </c>
      <c r="J7" s="11">
        <f>(SUM(G8:$G$79)*$I$1)</f>
        <v>8921.1080494534017</v>
      </c>
      <c r="K7" s="11">
        <f t="shared" si="6"/>
        <v>-2851.3147287158317</v>
      </c>
      <c r="L7" s="14">
        <v>5</v>
      </c>
      <c r="M7" s="19" t="s">
        <v>45</v>
      </c>
      <c r="N7" s="17">
        <f>SUM(I8:I11)</f>
        <v>7956.2920909362374</v>
      </c>
      <c r="O7" s="18">
        <f>N7/SUM($N$6:$N$9)</f>
        <v>0.34692613973569109</v>
      </c>
      <c r="Q7" s="65">
        <v>3</v>
      </c>
      <c r="R7" s="66">
        <f>Inputs!H10</f>
        <v>2.2900000000000001E-4</v>
      </c>
    </row>
    <row r="8" spans="1:18" x14ac:dyDescent="0.25">
      <c r="A8">
        <f t="shared" si="2"/>
        <v>94</v>
      </c>
      <c r="B8">
        <v>4</v>
      </c>
      <c r="C8" s="12">
        <f t="shared" si="3"/>
        <v>0.16819400000000001</v>
      </c>
      <c r="D8" s="10">
        <f t="shared" si="4"/>
        <v>0.83180600000000005</v>
      </c>
      <c r="E8" s="198">
        <f>IF(B8&lt;=$C$2,1,IF(B8=$C$2+1,PRODUCT($D$5:D8),E7*D8))</f>
        <v>0.53357714598067552</v>
      </c>
      <c r="F8" s="10">
        <f t="shared" si="0"/>
        <v>0.85480419102972571</v>
      </c>
      <c r="G8" s="10">
        <f>F8*E8</f>
        <v>0.45610398062196117</v>
      </c>
      <c r="I8" s="13">
        <f t="shared" si="1"/>
        <v>2667.8857299033775</v>
      </c>
      <c r="J8" s="11">
        <f>(SUM(G9:$G$79)*$I$1)</f>
        <v>6640.5881463435953</v>
      </c>
      <c r="K8" s="11">
        <f t="shared" si="6"/>
        <v>-2280.5199031098064</v>
      </c>
      <c r="L8" s="14">
        <v>10</v>
      </c>
      <c r="M8" s="19" t="s">
        <v>46</v>
      </c>
      <c r="N8" s="17">
        <f>SUM(I12:I19)</f>
        <v>3490.4031721529745</v>
      </c>
      <c r="O8" s="18">
        <f>N8/SUM($N$6:$N$9)</f>
        <v>0.15219553088249568</v>
      </c>
      <c r="Q8" s="65">
        <v>4</v>
      </c>
      <c r="R8" s="66">
        <f>Inputs!H11</f>
        <v>1.74E-4</v>
      </c>
    </row>
    <row r="9" spans="1:18" ht="15.75" thickBot="1" x14ac:dyDescent="0.3">
      <c r="A9">
        <f t="shared" si="2"/>
        <v>95</v>
      </c>
      <c r="B9">
        <v>5</v>
      </c>
      <c r="C9" s="12">
        <f t="shared" si="3"/>
        <v>0.18526000000000001</v>
      </c>
      <c r="D9" s="10">
        <f t="shared" si="4"/>
        <v>0.81474000000000002</v>
      </c>
      <c r="E9" s="198">
        <f>IF(B9&lt;=$C$2,1,IF(B9=$C$2+1,PRODUCT($D$5:D9),E8*D9))</f>
        <v>0.43472664391629556</v>
      </c>
      <c r="F9" s="10">
        <f t="shared" si="0"/>
        <v>0.82192710675935154</v>
      </c>
      <c r="G9" s="10">
        <f t="shared" si="5"/>
        <v>0.35731361266532369</v>
      </c>
      <c r="I9" s="13">
        <f t="shared" si="1"/>
        <v>2173.633219581478</v>
      </c>
      <c r="J9" s="11">
        <f>(SUM(G10:$G$79)*$I$1)</f>
        <v>4854.0200830169806</v>
      </c>
      <c r="K9" s="11">
        <f t="shared" si="6"/>
        <v>-1786.5680633266147</v>
      </c>
      <c r="L9" s="14">
        <v>30</v>
      </c>
      <c r="M9" s="20" t="s">
        <v>48</v>
      </c>
      <c r="N9" s="21">
        <f>SUM(I20:I70)</f>
        <v>112.23068211191192</v>
      </c>
      <c r="O9" s="22">
        <f>N9/SUM($N$6:$N$9)</f>
        <v>4.8937063722615812E-3</v>
      </c>
      <c r="Q9" s="65">
        <v>5</v>
      </c>
      <c r="R9" s="66">
        <f>Inputs!H12</f>
        <v>1.6799999999999999E-4</v>
      </c>
    </row>
    <row r="10" spans="1:18" x14ac:dyDescent="0.25">
      <c r="A10">
        <f t="shared" si="2"/>
        <v>96</v>
      </c>
      <c r="B10">
        <v>6</v>
      </c>
      <c r="C10" s="12">
        <f t="shared" si="3"/>
        <v>0.197322</v>
      </c>
      <c r="D10" s="10">
        <f t="shared" si="4"/>
        <v>0.802678</v>
      </c>
      <c r="E10" s="198">
        <f>IF(B10&lt;=$C$2,1,IF(B10=$C$2+1,PRODUCT($D$5:D10),E9*D10))</f>
        <v>0.3489455130854443</v>
      </c>
      <c r="F10" s="10">
        <f t="shared" si="0"/>
        <v>0.79031452573014571</v>
      </c>
      <c r="G10" s="10">
        <f t="shared" si="5"/>
        <v>0.27577670767978529</v>
      </c>
      <c r="I10" s="13">
        <f t="shared" si="1"/>
        <v>1744.7275654272214</v>
      </c>
      <c r="J10" s="11">
        <f>(SUM(G11:$G$79)*$I$1)</f>
        <v>3475.136544618053</v>
      </c>
      <c r="K10" s="11">
        <f t="shared" si="6"/>
        <v>-1378.8835383989276</v>
      </c>
      <c r="L10" s="53">
        <f>+SUMPRODUCT(L6:L9,O6:O9)</f>
        <v>4.3953664446903629</v>
      </c>
      <c r="O10" s="23">
        <f>SUM(O6:O9)</f>
        <v>1</v>
      </c>
      <c r="Q10" s="65">
        <v>6</v>
      </c>
      <c r="R10" s="66">
        <f>Inputs!H13</f>
        <v>1.65E-4</v>
      </c>
    </row>
    <row r="11" spans="1:18" x14ac:dyDescent="0.25">
      <c r="A11">
        <f t="shared" si="2"/>
        <v>97</v>
      </c>
      <c r="B11">
        <v>7</v>
      </c>
      <c r="C11" s="12">
        <f t="shared" si="3"/>
        <v>0.214751</v>
      </c>
      <c r="D11" s="10">
        <f t="shared" si="4"/>
        <v>0.78524899999999997</v>
      </c>
      <c r="E11" s="198">
        <f>IF(B11&lt;=$C$2,1,IF(B11=$C$2+1,PRODUCT($D$5:D11),E10*D11))</f>
        <v>0.27400911520483207</v>
      </c>
      <c r="F11" s="10">
        <f t="shared" si="0"/>
        <v>0.75991781320206331</v>
      </c>
      <c r="G11" s="10">
        <f t="shared" si="5"/>
        <v>0.20822440762388822</v>
      </c>
      <c r="I11" s="13">
        <f t="shared" si="1"/>
        <v>1370.0455760241603</v>
      </c>
      <c r="J11" s="11">
        <f>(SUM(G12:$G$79)*$I$1)</f>
        <v>2434.0145064986127</v>
      </c>
      <c r="K11" s="11">
        <f t="shared" si="6"/>
        <v>-1041.1220381194403</v>
      </c>
      <c r="Q11" s="65">
        <v>7</v>
      </c>
      <c r="R11" s="66">
        <f>Inputs!H14</f>
        <v>1.5899999999999999E-4</v>
      </c>
    </row>
    <row r="12" spans="1:18" x14ac:dyDescent="0.25">
      <c r="A12">
        <f t="shared" si="2"/>
        <v>98</v>
      </c>
      <c r="B12">
        <v>8</v>
      </c>
      <c r="C12" s="12">
        <f t="shared" si="3"/>
        <v>0.23250699999999999</v>
      </c>
      <c r="D12" s="10">
        <f t="shared" si="4"/>
        <v>0.76749299999999998</v>
      </c>
      <c r="E12" s="198">
        <f>IF(B12&lt;=$C$2,1,IF(B12=$C$2+1,PRODUCT($D$5:D12),E11*D12))</f>
        <v>0.21030007785590218</v>
      </c>
      <c r="F12" s="10">
        <f t="shared" si="0"/>
        <v>0.73069020500198378</v>
      </c>
      <c r="G12" s="10">
        <f t="shared" si="5"/>
        <v>0.15366420700046232</v>
      </c>
      <c r="I12" s="13">
        <f t="shared" si="1"/>
        <v>1051.500389279511</v>
      </c>
      <c r="J12" s="11">
        <f>(SUM(G13:$G$79)*$I$1)</f>
        <v>1665.6934714963008</v>
      </c>
      <c r="K12" s="11">
        <f t="shared" si="6"/>
        <v>-768.32103500231187</v>
      </c>
      <c r="Q12" s="65">
        <v>8</v>
      </c>
      <c r="R12" s="66">
        <f>Inputs!H15</f>
        <v>1.4300000000000001E-4</v>
      </c>
    </row>
    <row r="13" spans="1:18" x14ac:dyDescent="0.25">
      <c r="A13">
        <f t="shared" si="2"/>
        <v>99</v>
      </c>
      <c r="B13">
        <v>9</v>
      </c>
      <c r="C13" s="12">
        <f t="shared" si="3"/>
        <v>0.25039699999999998</v>
      </c>
      <c r="D13" s="10">
        <f t="shared" si="4"/>
        <v>0.74960300000000002</v>
      </c>
      <c r="E13" s="198">
        <f>IF(B13&lt;=$C$2,1,IF(B13=$C$2+1,PRODUCT($D$5:D13),E12*D13))</f>
        <v>0.15764156926101786</v>
      </c>
      <c r="F13" s="10">
        <f t="shared" si="0"/>
        <v>0.70258673557883045</v>
      </c>
      <c r="G13" s="10">
        <f t="shared" si="5"/>
        <v>0.11075687553862264</v>
      </c>
      <c r="I13" s="13">
        <f t="shared" si="1"/>
        <v>788.20784630508933</v>
      </c>
      <c r="J13" s="11">
        <f>(SUM(G14:$G$79)*$I$1)</f>
        <v>1111.9090938031873</v>
      </c>
      <c r="K13" s="11">
        <f t="shared" si="6"/>
        <v>-553.78437769311358</v>
      </c>
      <c r="Q13" s="65">
        <v>9</v>
      </c>
      <c r="R13" s="66">
        <f>Inputs!H16</f>
        <v>1.2899999999999999E-4</v>
      </c>
    </row>
    <row r="14" spans="1:18" x14ac:dyDescent="0.25">
      <c r="A14">
        <f t="shared" si="2"/>
        <v>100</v>
      </c>
      <c r="B14">
        <v>10</v>
      </c>
      <c r="C14" s="12">
        <f t="shared" si="3"/>
        <v>0.26860699999999998</v>
      </c>
      <c r="D14" s="10">
        <f t="shared" si="4"/>
        <v>0.73139299999999996</v>
      </c>
      <c r="E14" s="198">
        <f>IF(B14&lt;=$C$2,1,IF(B14=$C$2+1,PRODUCT($D$5:D14),E13*D14))</f>
        <v>0.11529794026652362</v>
      </c>
      <c r="F14" s="10">
        <f t="shared" si="0"/>
        <v>0.67556416882579851</v>
      </c>
      <c r="G14" s="10">
        <f t="shared" si="5"/>
        <v>7.7891157183480594E-2</v>
      </c>
      <c r="I14" s="13">
        <f t="shared" si="1"/>
        <v>576.4897013326181</v>
      </c>
      <c r="J14" s="11">
        <f>(SUM(G15:$G$79)*$I$1)</f>
        <v>722.4533078857844</v>
      </c>
      <c r="K14" s="11">
        <f t="shared" si="6"/>
        <v>-389.45578591740286</v>
      </c>
      <c r="Q14" s="65">
        <v>10</v>
      </c>
      <c r="R14" s="66">
        <f>Inputs!H17</f>
        <v>1.13E-4</v>
      </c>
    </row>
    <row r="15" spans="1:18" x14ac:dyDescent="0.25">
      <c r="A15">
        <f t="shared" si="2"/>
        <v>101</v>
      </c>
      <c r="B15">
        <v>11</v>
      </c>
      <c r="C15" s="12">
        <f t="shared" si="3"/>
        <v>0.290016</v>
      </c>
      <c r="D15" s="10">
        <f t="shared" si="4"/>
        <v>0.70998399999999995</v>
      </c>
      <c r="E15" s="198">
        <f>IF(B15&lt;=$C$2,1,IF(B15=$C$2+1,PRODUCT($D$5:D15),E14*D15))</f>
        <v>8.1859692822187496E-2</v>
      </c>
      <c r="F15" s="10">
        <f t="shared" si="0"/>
        <v>0.6495809315632679</v>
      </c>
      <c r="G15" s="10">
        <f t="shared" si="5"/>
        <v>5.3174495520919511E-2</v>
      </c>
      <c r="I15" s="13">
        <f t="shared" si="1"/>
        <v>409.29846411093746</v>
      </c>
      <c r="J15" s="11">
        <f>(SUM(G16:$G$79)*$I$1)</f>
        <v>456.58083028118688</v>
      </c>
      <c r="K15" s="11">
        <f t="shared" si="6"/>
        <v>-265.87247760459752</v>
      </c>
      <c r="Q15" s="65">
        <v>11</v>
      </c>
      <c r="R15" s="66">
        <f>Inputs!H18</f>
        <v>1.11E-4</v>
      </c>
    </row>
    <row r="16" spans="1:18" x14ac:dyDescent="0.25">
      <c r="A16">
        <f t="shared" si="2"/>
        <v>102</v>
      </c>
      <c r="B16">
        <v>12</v>
      </c>
      <c r="C16" s="12">
        <f t="shared" si="3"/>
        <v>0.31184899999999999</v>
      </c>
      <c r="D16" s="10">
        <f t="shared" si="4"/>
        <v>0.68815099999999996</v>
      </c>
      <c r="E16" s="198">
        <f>IF(B16&lt;=$C$2,1,IF(B16=$C$2+1,PRODUCT($D$5:D16),E15*D16))</f>
        <v>5.6331829475281148E-2</v>
      </c>
      <c r="F16" s="10">
        <f t="shared" si="0"/>
        <v>0.62459704958006512</v>
      </c>
      <c r="G16" s="10">
        <f t="shared" si="5"/>
        <v>3.5184694487707953E-2</v>
      </c>
      <c r="I16" s="13">
        <f t="shared" si="1"/>
        <v>281.65914737640571</v>
      </c>
      <c r="J16" s="11">
        <f>(SUM(G17:$G$79)*$I$1)</f>
        <v>280.65735784264712</v>
      </c>
      <c r="K16" s="11">
        <f t="shared" si="6"/>
        <v>-175.92347243853976</v>
      </c>
      <c r="Q16" s="65">
        <v>12</v>
      </c>
      <c r="R16" s="66">
        <f>Inputs!H19</f>
        <v>1.3200000000000001E-4</v>
      </c>
    </row>
    <row r="17" spans="1:18" x14ac:dyDescent="0.25">
      <c r="A17">
        <f t="shared" si="2"/>
        <v>103</v>
      </c>
      <c r="B17">
        <v>13</v>
      </c>
      <c r="C17" s="12">
        <f t="shared" si="3"/>
        <v>0.33396199999999998</v>
      </c>
      <c r="D17" s="10">
        <f t="shared" si="4"/>
        <v>0.66603800000000002</v>
      </c>
      <c r="E17" s="198">
        <f>IF(B17&lt;=$C$2,1,IF(B17=$C$2+1,PRODUCT($D$5:D17),E16*D17))</f>
        <v>3.7519139040057305E-2</v>
      </c>
      <c r="F17" s="10">
        <f t="shared" si="0"/>
        <v>0.600574086134678</v>
      </c>
      <c r="G17" s="10">
        <f t="shared" si="5"/>
        <v>2.2533022641542336E-2</v>
      </c>
      <c r="I17" s="13">
        <f t="shared" si="1"/>
        <v>187.59569520028651</v>
      </c>
      <c r="J17" s="11">
        <f>(SUM(G18:$G$79)*$I$1)</f>
        <v>167.99224463493547</v>
      </c>
      <c r="K17" s="11">
        <f t="shared" si="6"/>
        <v>-112.66511320771164</v>
      </c>
      <c r="Q17" s="65">
        <v>13</v>
      </c>
      <c r="R17" s="66">
        <f>Inputs!H20</f>
        <v>1.6899999999999999E-4</v>
      </c>
    </row>
    <row r="18" spans="1:18" x14ac:dyDescent="0.25">
      <c r="A18">
        <f t="shared" si="2"/>
        <v>104</v>
      </c>
      <c r="B18">
        <v>14</v>
      </c>
      <c r="C18" s="12">
        <f t="shared" si="3"/>
        <v>0.356207</v>
      </c>
      <c r="D18" s="10">
        <f t="shared" si="4"/>
        <v>0.64379300000000006</v>
      </c>
      <c r="E18" s="198">
        <f>IF(B18&lt;=$C$2,1,IF(B18=$C$2+1,PRODUCT($D$5:D18),E17*D18))</f>
        <v>2.4154559080015615E-2</v>
      </c>
      <c r="F18" s="10">
        <f t="shared" si="0"/>
        <v>0.57747508282180582</v>
      </c>
      <c r="G18" s="10">
        <f t="shared" si="5"/>
        <v>1.3948656005256219E-2</v>
      </c>
      <c r="I18" s="13">
        <f t="shared" si="1"/>
        <v>120.77279540007807</v>
      </c>
      <c r="J18" s="11">
        <f>(SUM(G19:$G$79)*$I$1)</f>
        <v>98.24896460865439</v>
      </c>
      <c r="K18" s="11">
        <f t="shared" si="6"/>
        <v>-69.743280026281084</v>
      </c>
      <c r="Q18" s="65">
        <v>14</v>
      </c>
      <c r="R18" s="66">
        <f>Inputs!H21</f>
        <v>2.13E-4</v>
      </c>
    </row>
    <row r="19" spans="1:18" x14ac:dyDescent="0.25">
      <c r="A19">
        <f t="shared" si="2"/>
        <v>105</v>
      </c>
      <c r="B19">
        <v>15</v>
      </c>
      <c r="C19" s="12">
        <f t="shared" si="3"/>
        <v>0.38</v>
      </c>
      <c r="D19" s="10">
        <f t="shared" si="4"/>
        <v>0.62</v>
      </c>
      <c r="E19" s="198">
        <f>IF(B19&lt;=$C$2,1,IF(B19=$C$2+1,PRODUCT($D$5:D19),E18*D19))</f>
        <v>1.4975826629609681E-2</v>
      </c>
      <c r="F19" s="10">
        <f t="shared" si="0"/>
        <v>0.55526450271327477</v>
      </c>
      <c r="G19" s="10">
        <f t="shared" si="5"/>
        <v>8.3155449262104376E-3</v>
      </c>
      <c r="I19" s="13">
        <f t="shared" si="1"/>
        <v>74.87913314804841</v>
      </c>
      <c r="J19" s="11">
        <f>(SUM(G20:$G$79)*$I$1)</f>
        <v>56.67123997760217</v>
      </c>
      <c r="K19" s="11">
        <f t="shared" si="6"/>
        <v>-41.57772463105222</v>
      </c>
      <c r="Q19" s="65">
        <v>15</v>
      </c>
      <c r="R19" s="66">
        <f>Inputs!H22</f>
        <v>2.5399999999999999E-4</v>
      </c>
    </row>
    <row r="20" spans="1:18" x14ac:dyDescent="0.25">
      <c r="A20">
        <f t="shared" si="2"/>
        <v>106</v>
      </c>
      <c r="B20">
        <v>16</v>
      </c>
      <c r="C20" s="12">
        <f t="shared" si="3"/>
        <v>0.4</v>
      </c>
      <c r="D20" s="10">
        <f t="shared" si="4"/>
        <v>0.6</v>
      </c>
      <c r="E20" s="198">
        <f>IF(B20&lt;=$C$2,1,IF(B20=$C$2+1,PRODUCT($D$5:D20),E19*D20))</f>
        <v>8.9854959777658089E-3</v>
      </c>
      <c r="F20" s="10">
        <f t="shared" si="0"/>
        <v>0.53390817568584104</v>
      </c>
      <c r="G20" s="10">
        <f t="shared" si="5"/>
        <v>4.7974297651214052E-3</v>
      </c>
      <c r="I20" s="13">
        <f t="shared" si="1"/>
        <v>44.927479888829048</v>
      </c>
      <c r="J20" s="11">
        <f>(SUM(G21:$G$79)*$I$1)</f>
        <v>32.684091151995155</v>
      </c>
      <c r="K20" s="11">
        <f t="shared" si="6"/>
        <v>-23.987148825607015</v>
      </c>
      <c r="Q20" s="65">
        <v>16</v>
      </c>
      <c r="R20" s="66">
        <f>Inputs!H23</f>
        <v>2.9300000000000002E-4</v>
      </c>
    </row>
    <row r="21" spans="1:18" x14ac:dyDescent="0.25">
      <c r="A21">
        <f t="shared" si="2"/>
        <v>107</v>
      </c>
      <c r="B21">
        <v>17</v>
      </c>
      <c r="C21" s="12">
        <f t="shared" si="3"/>
        <v>0.4</v>
      </c>
      <c r="D21" s="10">
        <f t="shared" si="4"/>
        <v>0.6</v>
      </c>
      <c r="E21" s="198">
        <f>IF(B21&lt;=$C$2,1,IF(B21=$C$2+1,PRODUCT($D$5:D21),E20*D21))</f>
        <v>5.3912975866594855E-3</v>
      </c>
      <c r="F21" s="10">
        <f t="shared" si="0"/>
        <v>0.51337324585177024</v>
      </c>
      <c r="G21" s="10">
        <f t="shared" si="5"/>
        <v>2.7677479414161955E-3</v>
      </c>
      <c r="I21" s="13">
        <f t="shared" si="1"/>
        <v>26.956487933297428</v>
      </c>
      <c r="J21" s="11">
        <f>(SUM(G22:$G$79)*$I$1)</f>
        <v>18.845351444914176</v>
      </c>
      <c r="K21" s="11">
        <f t="shared" si="6"/>
        <v>-13.838739707080979</v>
      </c>
      <c r="Q21" s="65">
        <v>17</v>
      </c>
      <c r="R21" s="66">
        <f>Inputs!H24</f>
        <v>3.28E-4</v>
      </c>
    </row>
    <row r="22" spans="1:18" x14ac:dyDescent="0.25">
      <c r="A22">
        <f t="shared" si="2"/>
        <v>108</v>
      </c>
      <c r="B22">
        <v>18</v>
      </c>
      <c r="C22" s="12">
        <f t="shared" si="3"/>
        <v>0.4</v>
      </c>
      <c r="D22" s="10">
        <f t="shared" si="4"/>
        <v>0.6</v>
      </c>
      <c r="E22" s="198">
        <f>IF(B22&lt;=$C$2,1,IF(B22=$C$2+1,PRODUCT($D$5:D22),E21*D22))</f>
        <v>3.2347785519956911E-3</v>
      </c>
      <c r="F22" s="10">
        <f t="shared" si="0"/>
        <v>0.49362812101131748</v>
      </c>
      <c r="G22" s="10">
        <f t="shared" si="5"/>
        <v>1.5967776585093434E-3</v>
      </c>
      <c r="I22" s="13">
        <f t="shared" si="1"/>
        <v>16.173892759978454</v>
      </c>
      <c r="J22" s="11">
        <f>(SUM(G23:$G$79)*$I$1)</f>
        <v>10.861463152367456</v>
      </c>
      <c r="K22" s="11">
        <f t="shared" si="6"/>
        <v>-7.9838882925467196</v>
      </c>
      <c r="Q22" s="65">
        <v>18</v>
      </c>
      <c r="R22" s="66">
        <f>Inputs!H25</f>
        <v>3.59E-4</v>
      </c>
    </row>
    <row r="23" spans="1:18" x14ac:dyDescent="0.25">
      <c r="A23">
        <f t="shared" si="2"/>
        <v>109</v>
      </c>
      <c r="B23">
        <v>19</v>
      </c>
      <c r="C23" s="12">
        <f t="shared" si="3"/>
        <v>0.4</v>
      </c>
      <c r="D23" s="10">
        <f t="shared" si="4"/>
        <v>0.6</v>
      </c>
      <c r="E23" s="198">
        <f>IF(B23&lt;=$C$2,1,IF(B23=$C$2+1,PRODUCT($D$5:D23),E22*D23))</f>
        <v>1.9408671311974147E-3</v>
      </c>
      <c r="F23" s="10">
        <f t="shared" si="0"/>
        <v>0.47464242404934376</v>
      </c>
      <c r="G23" s="10">
        <f t="shared" si="5"/>
        <v>9.2121787990923662E-4</v>
      </c>
      <c r="I23" s="13">
        <f t="shared" si="1"/>
        <v>9.704335655987073</v>
      </c>
      <c r="J23" s="11">
        <f>(SUM(G24:$G$79)*$I$1)</f>
        <v>6.2553737528212778</v>
      </c>
      <c r="K23" s="11">
        <f t="shared" si="6"/>
        <v>-4.6060893995461782</v>
      </c>
      <c r="Q23" s="65">
        <v>19</v>
      </c>
      <c r="R23" s="66">
        <f>Inputs!H26</f>
        <v>3.8699999999999997E-4</v>
      </c>
    </row>
    <row r="24" spans="1:18" x14ac:dyDescent="0.25">
      <c r="A24">
        <f t="shared" si="2"/>
        <v>110</v>
      </c>
      <c r="B24">
        <v>20</v>
      </c>
      <c r="C24" s="12">
        <f t="shared" si="3"/>
        <v>0.4</v>
      </c>
      <c r="D24" s="10">
        <f t="shared" si="4"/>
        <v>0.6</v>
      </c>
      <c r="E24" s="198">
        <f>IF(B24&lt;=$C$2,1,IF(B24=$C$2+1,PRODUCT($D$5:D24),E23*D24))</f>
        <v>1.1645202787184488E-3</v>
      </c>
      <c r="F24" s="10">
        <f t="shared" si="0"/>
        <v>0.45638694620129205</v>
      </c>
      <c r="G24" s="10">
        <f t="shared" si="5"/>
        <v>5.3147185379379027E-4</v>
      </c>
      <c r="I24" s="13">
        <f t="shared" si="1"/>
        <v>5.8226013935922438</v>
      </c>
      <c r="J24" s="11">
        <f>(SUM(G25:$G$79)*$I$1)</f>
        <v>3.5980144838523258</v>
      </c>
      <c r="K24" s="11">
        <f t="shared" si="6"/>
        <v>-2.657359268968952</v>
      </c>
      <c r="Q24" s="65">
        <v>20</v>
      </c>
      <c r="R24" s="66">
        <f>Inputs!H27</f>
        <v>4.1399999999999998E-4</v>
      </c>
    </row>
    <row r="25" spans="1:18" x14ac:dyDescent="0.25">
      <c r="A25">
        <f t="shared" si="2"/>
        <v>111</v>
      </c>
      <c r="B25">
        <v>21</v>
      </c>
      <c r="C25" s="12">
        <f t="shared" si="3"/>
        <v>0.4</v>
      </c>
      <c r="D25" s="10">
        <f t="shared" si="4"/>
        <v>0.6</v>
      </c>
      <c r="E25" s="198">
        <f>IF(B25&lt;=$C$2,1,IF(B25=$C$2+1,PRODUCT($D$5:D25),E24*D25))</f>
        <v>6.9871216723106926E-4</v>
      </c>
      <c r="F25" s="10">
        <f t="shared" si="0"/>
        <v>0.43883360211662686</v>
      </c>
      <c r="G25" s="10">
        <f t="shared" si="5"/>
        <v>3.0661837718872512E-4</v>
      </c>
      <c r="I25" s="13">
        <f t="shared" si="1"/>
        <v>3.4935608361553463</v>
      </c>
      <c r="J25" s="11">
        <f>(SUM(G26:$G$79)*$I$1)</f>
        <v>2.0649225979087</v>
      </c>
      <c r="K25" s="11">
        <f t="shared" si="6"/>
        <v>-1.5330918859436258</v>
      </c>
      <c r="Q25" s="65">
        <v>21</v>
      </c>
      <c r="R25" s="66">
        <f>Inputs!H28</f>
        <v>4.4299999999999998E-4</v>
      </c>
    </row>
    <row r="26" spans="1:18" x14ac:dyDescent="0.25">
      <c r="A26">
        <f t="shared" si="2"/>
        <v>112</v>
      </c>
      <c r="B26">
        <v>22</v>
      </c>
      <c r="C26" s="12">
        <f t="shared" si="3"/>
        <v>0.4</v>
      </c>
      <c r="D26" s="10">
        <f t="shared" si="4"/>
        <v>0.6</v>
      </c>
      <c r="E26" s="198">
        <f>IF(B26&lt;=$C$2,1,IF(B26=$C$2+1,PRODUCT($D$5:D26),E25*D26))</f>
        <v>4.1922730033864153E-4</v>
      </c>
      <c r="F26" s="10">
        <f t="shared" si="0"/>
        <v>0.42195538665060278</v>
      </c>
      <c r="G26" s="10">
        <f t="shared" si="5"/>
        <v>1.7689521760887986E-4</v>
      </c>
      <c r="I26" s="13">
        <f t="shared" si="1"/>
        <v>2.0961365016932079</v>
      </c>
      <c r="J26" s="11">
        <f>(SUM(G27:$G$79)*$I$1)</f>
        <v>1.1804465098643007</v>
      </c>
      <c r="K26" s="11">
        <f t="shared" si="6"/>
        <v>-0.88447608804439937</v>
      </c>
      <c r="Q26" s="65">
        <v>22</v>
      </c>
      <c r="R26" s="66">
        <f>Inputs!H29</f>
        <v>4.73E-4</v>
      </c>
    </row>
    <row r="27" spans="1:18" x14ac:dyDescent="0.25">
      <c r="A27">
        <f t="shared" si="2"/>
        <v>113</v>
      </c>
      <c r="B27">
        <v>23</v>
      </c>
      <c r="C27" s="12">
        <f t="shared" si="3"/>
        <v>0.4</v>
      </c>
      <c r="D27" s="10">
        <f t="shared" si="4"/>
        <v>0.6</v>
      </c>
      <c r="E27" s="198">
        <f>IF(B27&lt;=$C$2,1,IF(B27=$C$2+1,PRODUCT($D$5:D27),E26*D27))</f>
        <v>2.5153638020318492E-4</v>
      </c>
      <c r="F27" s="10">
        <f t="shared" si="0"/>
        <v>0.40572633331788732</v>
      </c>
      <c r="G27" s="10">
        <f t="shared" si="5"/>
        <v>1.0205493323589223E-4</v>
      </c>
      <c r="I27" s="13">
        <f t="shared" si="1"/>
        <v>1.2576819010159246</v>
      </c>
      <c r="J27" s="11">
        <f>(SUM(G28:$G$79)*$I$1)</f>
        <v>0.67017184368483951</v>
      </c>
      <c r="K27" s="11">
        <f t="shared" si="6"/>
        <v>-0.51027466617946116</v>
      </c>
      <c r="Q27" s="65">
        <v>23</v>
      </c>
      <c r="R27" s="66">
        <f>Inputs!H30</f>
        <v>5.13E-4</v>
      </c>
    </row>
    <row r="28" spans="1:18" x14ac:dyDescent="0.25">
      <c r="A28">
        <f t="shared" si="2"/>
        <v>114</v>
      </c>
      <c r="B28">
        <v>24</v>
      </c>
      <c r="C28" s="12">
        <f t="shared" si="3"/>
        <v>0.4</v>
      </c>
      <c r="D28" s="10">
        <f t="shared" si="4"/>
        <v>0.6</v>
      </c>
      <c r="E28" s="198">
        <f>IF(B28&lt;=$C$2,1,IF(B28=$C$2+1,PRODUCT($D$5:D28),E27*D28))</f>
        <v>1.5092182812191096E-4</v>
      </c>
      <c r="F28" s="10">
        <f t="shared" si="0"/>
        <v>0.39012147434412242</v>
      </c>
      <c r="G28" s="10">
        <f t="shared" si="5"/>
        <v>5.8877846097630142E-5</v>
      </c>
      <c r="I28" s="13">
        <f t="shared" si="1"/>
        <v>0.75460914060955475</v>
      </c>
      <c r="J28" s="11">
        <f>(SUM(G29:$G$79)*$I$1)</f>
        <v>0.37578261319668871</v>
      </c>
      <c r="K28" s="11">
        <f t="shared" si="6"/>
        <v>-0.2943892304881508</v>
      </c>
      <c r="Q28" s="65">
        <v>24</v>
      </c>
      <c r="R28" s="66">
        <f>Inputs!H31</f>
        <v>5.5400000000000002E-4</v>
      </c>
    </row>
    <row r="29" spans="1:18" x14ac:dyDescent="0.25">
      <c r="A29">
        <f t="shared" si="2"/>
        <v>115</v>
      </c>
      <c r="B29">
        <v>25</v>
      </c>
      <c r="C29" s="12">
        <f t="shared" si="3"/>
        <v>0.4</v>
      </c>
      <c r="D29" s="10">
        <f t="shared" si="4"/>
        <v>0.6</v>
      </c>
      <c r="E29" s="198">
        <f>IF(B29&lt;=$C$2,1,IF(B29=$C$2+1,PRODUCT($D$5:D29),E28*D29))</f>
        <v>9.0553096873146574E-5</v>
      </c>
      <c r="F29" s="10">
        <f t="shared" si="0"/>
        <v>0.37511680225396377</v>
      </c>
      <c r="G29" s="10">
        <f t="shared" si="5"/>
        <v>3.3967988133248147E-5</v>
      </c>
      <c r="I29" s="13">
        <f t="shared" si="1"/>
        <v>0.45276548436573288</v>
      </c>
      <c r="J29" s="11">
        <f>(SUM(G30:$G$79)*$I$1)</f>
        <v>0.20594267253044798</v>
      </c>
      <c r="K29" s="11">
        <f t="shared" si="6"/>
        <v>-0.16983994066624072</v>
      </c>
      <c r="Q29" s="65">
        <v>25</v>
      </c>
      <c r="R29" s="66">
        <f>Inputs!H32</f>
        <v>6.02E-4</v>
      </c>
    </row>
    <row r="30" spans="1:18" x14ac:dyDescent="0.25">
      <c r="A30">
        <f t="shared" si="2"/>
        <v>116</v>
      </c>
      <c r="B30">
        <v>26</v>
      </c>
      <c r="C30" s="12">
        <f t="shared" si="3"/>
        <v>0.4</v>
      </c>
      <c r="D30" s="10">
        <f t="shared" si="4"/>
        <v>0.6</v>
      </c>
      <c r="E30" s="198">
        <f>IF(B30&lt;=$C$2,1,IF(B30=$C$2+1,PRODUCT($D$5:D30),E29*D30))</f>
        <v>5.4331858123887946E-5</v>
      </c>
      <c r="F30" s="10">
        <f t="shared" si="0"/>
        <v>0.36068923293650368</v>
      </c>
      <c r="G30" s="10">
        <f t="shared" si="5"/>
        <v>1.9596916230720088E-5</v>
      </c>
      <c r="I30" s="13">
        <f t="shared" si="1"/>
        <v>0.27165929061943972</v>
      </c>
      <c r="J30" s="11">
        <f>(SUM(G31:$G$79)*$I$1)</f>
        <v>0.10795809137684753</v>
      </c>
      <c r="K30" s="11">
        <f t="shared" si="6"/>
        <v>-9.7984581153600453E-2</v>
      </c>
      <c r="Q30" s="65">
        <v>26</v>
      </c>
      <c r="R30" s="66">
        <f>Inputs!H33</f>
        <v>6.5499999999999998E-4</v>
      </c>
    </row>
    <row r="31" spans="1:18" x14ac:dyDescent="0.25">
      <c r="A31">
        <f t="shared" si="2"/>
        <v>117</v>
      </c>
      <c r="B31">
        <v>27</v>
      </c>
      <c r="C31" s="12">
        <f t="shared" si="3"/>
        <v>0.4</v>
      </c>
      <c r="D31" s="10">
        <f t="shared" si="4"/>
        <v>0.6</v>
      </c>
      <c r="E31" s="198">
        <f>IF(B31&lt;=$C$2,1,IF(B31=$C$2+1,PRODUCT($D$5:D31),E30*D31))</f>
        <v>3.2599114874332768E-5</v>
      </c>
      <c r="F31" s="10">
        <f t="shared" si="0"/>
        <v>0.3468165701312535</v>
      </c>
      <c r="G31" s="10">
        <f t="shared" si="5"/>
        <v>1.130591321003082E-5</v>
      </c>
      <c r="I31" s="13">
        <f t="shared" si="1"/>
        <v>0.16299557437166384</v>
      </c>
      <c r="J31" s="11">
        <f>(SUM(G32:$G$79)*$I$1)</f>
        <v>5.1428525326693439E-2</v>
      </c>
      <c r="K31" s="11">
        <f t="shared" si="6"/>
        <v>-5.6529566050154093E-2</v>
      </c>
      <c r="Q31" s="65">
        <v>27</v>
      </c>
      <c r="R31" s="66">
        <f>Inputs!H34</f>
        <v>6.8800000000000003E-4</v>
      </c>
    </row>
    <row r="32" spans="1:18" x14ac:dyDescent="0.25">
      <c r="A32">
        <f t="shared" si="2"/>
        <v>118</v>
      </c>
      <c r="B32">
        <v>28</v>
      </c>
      <c r="C32" s="12">
        <f t="shared" si="3"/>
        <v>0.4</v>
      </c>
      <c r="D32" s="10">
        <f t="shared" si="4"/>
        <v>0.6</v>
      </c>
      <c r="E32" s="198">
        <f>IF(B32&lt;=$C$2,1,IF(B32=$C$2+1,PRODUCT($D$5:D32),E31*D32))</f>
        <v>1.9559468924599661E-5</v>
      </c>
      <c r="F32" s="10">
        <f t="shared" si="0"/>
        <v>0.3334774712800514</v>
      </c>
      <c r="G32" s="10">
        <f t="shared" si="5"/>
        <v>6.522642236556241E-6</v>
      </c>
      <c r="I32" s="13">
        <f t="shared" si="1"/>
        <v>9.77973446229983E-2</v>
      </c>
      <c r="J32" s="11">
        <f>(SUM(G33:$G$79)*$I$1)</f>
        <v>1.8815314143912232E-2</v>
      </c>
      <c r="K32" s="11">
        <f t="shared" si="6"/>
        <v>-3.261321118278121E-2</v>
      </c>
      <c r="Q32" s="65">
        <v>28</v>
      </c>
      <c r="R32" s="66">
        <f>Inputs!H35</f>
        <v>7.1000000000000002E-4</v>
      </c>
    </row>
    <row r="33" spans="1:18" x14ac:dyDescent="0.25">
      <c r="A33">
        <f t="shared" si="2"/>
        <v>119</v>
      </c>
      <c r="B33">
        <v>29</v>
      </c>
      <c r="C33" s="12">
        <f t="shared" si="3"/>
        <v>0.4</v>
      </c>
      <c r="D33" s="10">
        <f t="shared" si="4"/>
        <v>0.6</v>
      </c>
      <c r="E33" s="198">
        <f>IF(B33&lt;=$C$2,1,IF(B33=$C$2+1,PRODUCT($D$5:D33),E32*D33))</f>
        <v>1.1735681354759797E-5</v>
      </c>
      <c r="F33" s="10">
        <f t="shared" si="0"/>
        <v>0.32065141469235708</v>
      </c>
      <c r="G33" s="10">
        <f t="shared" si="5"/>
        <v>3.7630628287824465E-6</v>
      </c>
      <c r="I33" s="13">
        <f t="shared" si="1"/>
        <v>5.8678406773798986E-2</v>
      </c>
      <c r="J33" s="11">
        <f>(SUM(G34:$G$79)*$I$1)</f>
        <v>0</v>
      </c>
      <c r="K33" s="11">
        <f t="shared" si="6"/>
        <v>-1.8815314143912232E-2</v>
      </c>
      <c r="Q33" s="65">
        <v>29</v>
      </c>
      <c r="R33" s="66">
        <f>Inputs!H36</f>
        <v>7.27E-4</v>
      </c>
    </row>
    <row r="34" spans="1:18" x14ac:dyDescent="0.25">
      <c r="A34">
        <f t="shared" si="2"/>
        <v>120</v>
      </c>
      <c r="B34">
        <v>30</v>
      </c>
      <c r="C34" s="12">
        <f t="shared" si="3"/>
        <v>1</v>
      </c>
      <c r="D34" s="10">
        <f t="shared" si="4"/>
        <v>0</v>
      </c>
      <c r="E34" s="198">
        <f>IF(B34&lt;=$C$2,1,IF(B34=$C$2+1,PRODUCT($D$5:D34),E33*D34))</f>
        <v>0</v>
      </c>
      <c r="F34" s="10">
        <f t="shared" si="0"/>
        <v>0</v>
      </c>
      <c r="G34" s="10">
        <f t="shared" si="5"/>
        <v>0</v>
      </c>
      <c r="I34" s="13">
        <f t="shared" si="1"/>
        <v>0</v>
      </c>
      <c r="J34" s="11">
        <f>(SUM(G35:$G$79)*$I$1)</f>
        <v>0</v>
      </c>
      <c r="K34" s="11">
        <f t="shared" si="6"/>
        <v>0</v>
      </c>
      <c r="Q34" s="65">
        <v>30</v>
      </c>
      <c r="R34" s="66">
        <f>Inputs!H37</f>
        <v>7.4100000000000001E-4</v>
      </c>
    </row>
    <row r="35" spans="1:18" x14ac:dyDescent="0.25">
      <c r="C35" s="12"/>
      <c r="D35" s="10"/>
      <c r="E35" s="198"/>
      <c r="F35" s="10"/>
      <c r="G35" s="10"/>
      <c r="I35" s="13"/>
      <c r="J35" s="11"/>
      <c r="K35" s="11"/>
      <c r="Q35" s="65">
        <v>31</v>
      </c>
      <c r="R35" s="66">
        <f>Inputs!H38</f>
        <v>7.5100000000000004E-4</v>
      </c>
    </row>
    <row r="36" spans="1:18" x14ac:dyDescent="0.25">
      <c r="C36" s="12"/>
      <c r="D36" s="10"/>
      <c r="E36" s="198"/>
      <c r="F36" s="10"/>
      <c r="G36" s="10"/>
      <c r="I36" s="13"/>
      <c r="J36" s="11"/>
      <c r="K36" s="11"/>
      <c r="Q36" s="65">
        <v>32</v>
      </c>
      <c r="R36" s="66">
        <f>Inputs!H39</f>
        <v>7.54E-4</v>
      </c>
    </row>
    <row r="37" spans="1:18" x14ac:dyDescent="0.25">
      <c r="C37" s="12"/>
      <c r="D37" s="10"/>
      <c r="E37" s="198"/>
      <c r="F37" s="10"/>
      <c r="G37" s="10"/>
      <c r="I37" s="13"/>
      <c r="J37" s="11"/>
      <c r="K37" s="11"/>
      <c r="Q37" s="65">
        <v>33</v>
      </c>
      <c r="R37" s="66">
        <f>Inputs!H40</f>
        <v>7.5600000000000005E-4</v>
      </c>
    </row>
    <row r="38" spans="1:18" x14ac:dyDescent="0.25">
      <c r="C38" s="12"/>
      <c r="D38" s="10"/>
      <c r="E38" s="198"/>
      <c r="F38" s="10"/>
      <c r="G38" s="10"/>
      <c r="I38" s="13"/>
      <c r="J38" s="11"/>
      <c r="K38" s="11"/>
      <c r="Q38" s="65">
        <v>34</v>
      </c>
      <c r="R38" s="66">
        <f>Inputs!H41</f>
        <v>7.5600000000000005E-4</v>
      </c>
    </row>
    <row r="39" spans="1:18" x14ac:dyDescent="0.25">
      <c r="C39" s="12"/>
      <c r="D39" s="10"/>
      <c r="E39" s="198"/>
      <c r="F39" s="10"/>
      <c r="G39" s="10"/>
      <c r="I39" s="13"/>
      <c r="J39" s="11"/>
      <c r="K39" s="11"/>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c r="E133" s="35"/>
      <c r="F133" s="3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9">
    <cfRule type="cellIs" dxfId="10"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8" workbookViewId="0">
      <selection activeCell="D126" sqref="D126:F133"/>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153</v>
      </c>
      <c r="I1" s="3">
        <v>5000</v>
      </c>
      <c r="J1" s="181" t="s">
        <v>173</v>
      </c>
      <c r="L1" s="1"/>
      <c r="M1" s="4"/>
      <c r="N1" s="4"/>
      <c r="O1" s="4"/>
      <c r="P1" s="4"/>
      <c r="Q1" s="64"/>
      <c r="R1" s="28"/>
    </row>
    <row r="2" spans="1:18" ht="15.75" customHeight="1" thickBot="1" x14ac:dyDescent="0.3">
      <c r="B2" t="s">
        <v>227</v>
      </c>
      <c r="C2">
        <v>5</v>
      </c>
      <c r="F2" s="5">
        <f>'Asset and Liability Durations'!N32</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9">
        <f>+SUMPRODUCT(B5:B59,I5:I59,F5:F59)/SUMPRODUCT(F5:F59,I5:I59)</f>
        <v>3.8617028877667976</v>
      </c>
      <c r="N3" s="10"/>
      <c r="O3" s="10"/>
      <c r="P3" s="10"/>
      <c r="Q3" s="31"/>
      <c r="R3" s="32"/>
    </row>
    <row r="4" spans="1:18" x14ac:dyDescent="0.25">
      <c r="A4">
        <v>90</v>
      </c>
      <c r="B4">
        <v>0</v>
      </c>
      <c r="C4" s="8"/>
      <c r="D4" s="7"/>
      <c r="E4" s="7"/>
      <c r="F4" s="7"/>
      <c r="G4" s="10">
        <v>1</v>
      </c>
      <c r="J4" s="11">
        <f>(SUM(G5:$G$79)*$I$1)</f>
        <v>27113.131738098004</v>
      </c>
      <c r="Q4" s="65">
        <v>0</v>
      </c>
      <c r="R4" s="66">
        <f>Inputs!H7</f>
        <v>1.6050000000000001E-3</v>
      </c>
    </row>
    <row r="5" spans="1:18" ht="15.75" thickBot="1" x14ac:dyDescent="0.3">
      <c r="A5">
        <f>B5+$A$4</f>
        <v>91</v>
      </c>
      <c r="B5">
        <v>1</v>
      </c>
      <c r="C5" s="12">
        <f>VLOOKUP(A5,$Q$4:$R$124,2,FALSE)</f>
        <v>0.12311900000000001</v>
      </c>
      <c r="D5" s="10">
        <f>1-C5</f>
        <v>0.87688100000000002</v>
      </c>
      <c r="E5" s="198">
        <f>IF(B5&lt;=$C$2,1,IF(B5=$C$2+1,PRODUCT($D$5:D5),E4*D5))</f>
        <v>1</v>
      </c>
      <c r="F5" s="10">
        <f t="shared" ref="F5:F34" si="0">IF(D5=0,0,(1+$F$2)^-B5)</f>
        <v>0.96153846153846145</v>
      </c>
      <c r="G5" s="10">
        <f>F5*E5</f>
        <v>0.96153846153846145</v>
      </c>
      <c r="I5" s="13">
        <f t="shared" ref="I5:I34" si="1">E5*$I$1</f>
        <v>5000</v>
      </c>
      <c r="J5" s="11">
        <f>(SUM(G6:$G$79)*$I$1)</f>
        <v>22305.439430405699</v>
      </c>
      <c r="K5" s="11">
        <f>J5-J4</f>
        <v>-4807.6923076923049</v>
      </c>
      <c r="L5" s="14" t="s">
        <v>16</v>
      </c>
      <c r="M5" s="14" t="s">
        <v>17</v>
      </c>
      <c r="N5" s="14" t="s">
        <v>18</v>
      </c>
      <c r="O5" s="14" t="s">
        <v>47</v>
      </c>
      <c r="Q5" s="65">
        <v>1</v>
      </c>
      <c r="R5" s="66">
        <f>Inputs!H8</f>
        <v>4.0099999999999999E-4</v>
      </c>
    </row>
    <row r="6" spans="1:18" x14ac:dyDescent="0.25">
      <c r="A6">
        <f t="shared" ref="A6:A34" si="2">B6+$A$4</f>
        <v>92</v>
      </c>
      <c r="B6">
        <v>2</v>
      </c>
      <c r="C6" s="12">
        <f t="shared" ref="C6:C34" si="3">VLOOKUP(A6,$Q$4:$R$124,2,FALSE)</f>
        <v>0.13716800000000001</v>
      </c>
      <c r="D6" s="10">
        <f t="shared" ref="D6:D34" si="4">1-C6</f>
        <v>0.86283200000000004</v>
      </c>
      <c r="E6" s="198">
        <f>IF(B6&lt;=$C$2,1,IF(B6=$C$2+1,PRODUCT($D$5:D6),E5*D6))</f>
        <v>1</v>
      </c>
      <c r="F6" s="10">
        <f t="shared" si="0"/>
        <v>0.92455621301775137</v>
      </c>
      <c r="G6" s="10">
        <f t="shared" ref="G6:G34" si="5">F6*E6</f>
        <v>0.92455621301775137</v>
      </c>
      <c r="I6" s="13">
        <f t="shared" si="1"/>
        <v>5000</v>
      </c>
      <c r="J6" s="11">
        <f>(SUM(G7:$G$79)*$I$1)</f>
        <v>17682.658365316944</v>
      </c>
      <c r="K6" s="11">
        <f t="shared" ref="K6:K34" si="6">J6-J5</f>
        <v>-4622.781065088755</v>
      </c>
      <c r="L6" s="14">
        <v>2</v>
      </c>
      <c r="M6" s="54" t="s">
        <v>44</v>
      </c>
      <c r="N6" s="15">
        <f>SUM(I5:I7)</f>
        <v>15000</v>
      </c>
      <c r="O6" s="16">
        <f>N6/SUM($N$6:$N$9)</f>
        <v>0.47292642812906766</v>
      </c>
      <c r="Q6" s="65">
        <v>2</v>
      </c>
      <c r="R6" s="66">
        <f>Inputs!H9</f>
        <v>2.7500000000000002E-4</v>
      </c>
    </row>
    <row r="7" spans="1:18" x14ac:dyDescent="0.25">
      <c r="A7">
        <f t="shared" si="2"/>
        <v>93</v>
      </c>
      <c r="B7">
        <v>3</v>
      </c>
      <c r="C7" s="12">
        <f t="shared" si="3"/>
        <v>0.152171</v>
      </c>
      <c r="D7" s="10">
        <f t="shared" si="4"/>
        <v>0.84782899999999994</v>
      </c>
      <c r="E7" s="198">
        <f>IF(B7&lt;=$C$2,1,IF(B7=$C$2+1,PRODUCT($D$5:D7),E6*D7))</f>
        <v>1</v>
      </c>
      <c r="F7" s="10">
        <f t="shared" si="0"/>
        <v>0.88899635867091487</v>
      </c>
      <c r="G7" s="10">
        <f t="shared" si="5"/>
        <v>0.88899635867091487</v>
      </c>
      <c r="I7" s="13">
        <f t="shared" si="1"/>
        <v>5000</v>
      </c>
      <c r="J7" s="11">
        <f>(SUM(G8:$G$79)*$I$1)</f>
        <v>13237.676571962367</v>
      </c>
      <c r="K7" s="11">
        <f t="shared" si="6"/>
        <v>-4444.9817933545764</v>
      </c>
      <c r="L7" s="14">
        <v>5</v>
      </c>
      <c r="M7" s="19" t="s">
        <v>45</v>
      </c>
      <c r="N7" s="17">
        <f>SUM(I8:I11)</f>
        <v>13114.773141451382</v>
      </c>
      <c r="O7" s="18">
        <f>N7/SUM($N$6:$N$9)</f>
        <v>0.41348818783397562</v>
      </c>
      <c r="Q7" s="65">
        <v>3</v>
      </c>
      <c r="R7" s="66">
        <f>Inputs!H10</f>
        <v>2.2900000000000001E-4</v>
      </c>
    </row>
    <row r="8" spans="1:18" x14ac:dyDescent="0.25">
      <c r="A8">
        <f t="shared" si="2"/>
        <v>94</v>
      </c>
      <c r="B8">
        <v>4</v>
      </c>
      <c r="C8" s="12">
        <f t="shared" si="3"/>
        <v>0.16819400000000001</v>
      </c>
      <c r="D8" s="10">
        <f t="shared" si="4"/>
        <v>0.83180600000000005</v>
      </c>
      <c r="E8" s="198">
        <f>IF(B8&lt;=$C$2,1,IF(B8=$C$2+1,PRODUCT($D$5:D8),E7*D8))</f>
        <v>1</v>
      </c>
      <c r="F8" s="10">
        <f t="shared" si="0"/>
        <v>0.85480419102972571</v>
      </c>
      <c r="G8" s="10">
        <f>F8*E8</f>
        <v>0.85480419102972571</v>
      </c>
      <c r="I8" s="13">
        <f t="shared" si="1"/>
        <v>5000</v>
      </c>
      <c r="J8" s="11">
        <f>(SUM(G9:$G$79)*$I$1)</f>
        <v>8963.655616813734</v>
      </c>
      <c r="K8" s="11">
        <f t="shared" si="6"/>
        <v>-4274.0209551486332</v>
      </c>
      <c r="L8" s="14">
        <v>10</v>
      </c>
      <c r="M8" s="19" t="s">
        <v>46</v>
      </c>
      <c r="N8" s="17">
        <f>SUM(I12:I19)</f>
        <v>3490.4031721529745</v>
      </c>
      <c r="O8" s="18">
        <f>N8/SUM($N$6:$N$9)</f>
        <v>0.11004692699577824</v>
      </c>
      <c r="Q8" s="65">
        <v>4</v>
      </c>
      <c r="R8" s="66">
        <f>Inputs!H11</f>
        <v>1.74E-4</v>
      </c>
    </row>
    <row r="9" spans="1:18" ht="15.75" thickBot="1" x14ac:dyDescent="0.3">
      <c r="A9">
        <f t="shared" si="2"/>
        <v>95</v>
      </c>
      <c r="B9">
        <v>5</v>
      </c>
      <c r="C9" s="12">
        <f t="shared" si="3"/>
        <v>0.18526000000000001</v>
      </c>
      <c r="D9" s="10">
        <f t="shared" si="4"/>
        <v>0.81474000000000002</v>
      </c>
      <c r="E9" s="198">
        <f>IF(B9&lt;=$C$2,1,IF(B9=$C$2+1,PRODUCT($D$5:D9),E8*D9))</f>
        <v>1</v>
      </c>
      <c r="F9" s="10">
        <f t="shared" si="0"/>
        <v>0.82192710675935154</v>
      </c>
      <c r="G9" s="10">
        <f t="shared" si="5"/>
        <v>0.82192710675935154</v>
      </c>
      <c r="I9" s="13">
        <f t="shared" si="1"/>
        <v>5000</v>
      </c>
      <c r="J9" s="11">
        <f>(SUM(G10:$G$79)*$I$1)</f>
        <v>4854.0200830169806</v>
      </c>
      <c r="K9" s="11">
        <f t="shared" si="6"/>
        <v>-4109.6355337967534</v>
      </c>
      <c r="L9" s="14">
        <v>30</v>
      </c>
      <c r="M9" s="20" t="s">
        <v>48</v>
      </c>
      <c r="N9" s="21">
        <f>SUM(I20:I70)</f>
        <v>112.23068211191192</v>
      </c>
      <c r="O9" s="22">
        <f>N9/SUM($N$6:$N$9)</f>
        <v>3.5384570411783568E-3</v>
      </c>
      <c r="Q9" s="65">
        <v>5</v>
      </c>
      <c r="R9" s="66">
        <f>Inputs!H12</f>
        <v>1.6799999999999999E-4</v>
      </c>
    </row>
    <row r="10" spans="1:18" x14ac:dyDescent="0.25">
      <c r="A10">
        <f t="shared" si="2"/>
        <v>96</v>
      </c>
      <c r="B10">
        <v>6</v>
      </c>
      <c r="C10" s="12">
        <f t="shared" si="3"/>
        <v>0.197322</v>
      </c>
      <c r="D10" s="10">
        <f t="shared" si="4"/>
        <v>0.802678</v>
      </c>
      <c r="E10" s="198">
        <f>IF(B10&lt;=$C$2,1,IF(B10=$C$2+1,PRODUCT($D$5:D10),E9*D10))</f>
        <v>0.3489455130854443</v>
      </c>
      <c r="F10" s="10">
        <f t="shared" si="0"/>
        <v>0.79031452573014571</v>
      </c>
      <c r="G10" s="10">
        <f t="shared" si="5"/>
        <v>0.27577670767978529</v>
      </c>
      <c r="I10" s="13">
        <f t="shared" si="1"/>
        <v>1744.7275654272214</v>
      </c>
      <c r="J10" s="11">
        <f>(SUM(G11:$G$79)*$I$1)</f>
        <v>3475.136544618053</v>
      </c>
      <c r="K10" s="11">
        <f t="shared" si="6"/>
        <v>-1378.8835383989276</v>
      </c>
      <c r="L10" s="53">
        <f>+SUMPRODUCT(L6:L9,O6:O9)</f>
        <v>4.2199167766211465</v>
      </c>
      <c r="O10" s="23">
        <f>SUM(O6:O9)</f>
        <v>0.99999999999999989</v>
      </c>
      <c r="Q10" s="65">
        <v>6</v>
      </c>
      <c r="R10" s="66">
        <f>Inputs!H13</f>
        <v>1.65E-4</v>
      </c>
    </row>
    <row r="11" spans="1:18" x14ac:dyDescent="0.25">
      <c r="A11">
        <f t="shared" si="2"/>
        <v>97</v>
      </c>
      <c r="B11">
        <v>7</v>
      </c>
      <c r="C11" s="12">
        <f t="shared" si="3"/>
        <v>0.214751</v>
      </c>
      <c r="D11" s="10">
        <f t="shared" si="4"/>
        <v>0.78524899999999997</v>
      </c>
      <c r="E11" s="198">
        <f>IF(B11&lt;=$C$2,1,IF(B11=$C$2+1,PRODUCT($D$5:D11),E10*D11))</f>
        <v>0.27400911520483207</v>
      </c>
      <c r="F11" s="10">
        <f t="shared" si="0"/>
        <v>0.75991781320206331</v>
      </c>
      <c r="G11" s="10">
        <f t="shared" si="5"/>
        <v>0.20822440762388822</v>
      </c>
      <c r="I11" s="13">
        <f t="shared" si="1"/>
        <v>1370.0455760241603</v>
      </c>
      <c r="J11" s="11">
        <f>(SUM(G12:$G$79)*$I$1)</f>
        <v>2434.0145064986127</v>
      </c>
      <c r="K11" s="11">
        <f t="shared" si="6"/>
        <v>-1041.1220381194403</v>
      </c>
      <c r="Q11" s="65">
        <v>7</v>
      </c>
      <c r="R11" s="66">
        <f>Inputs!H14</f>
        <v>1.5899999999999999E-4</v>
      </c>
    </row>
    <row r="12" spans="1:18" x14ac:dyDescent="0.25">
      <c r="A12">
        <f t="shared" si="2"/>
        <v>98</v>
      </c>
      <c r="B12">
        <v>8</v>
      </c>
      <c r="C12" s="12">
        <f t="shared" si="3"/>
        <v>0.23250699999999999</v>
      </c>
      <c r="D12" s="10">
        <f t="shared" si="4"/>
        <v>0.76749299999999998</v>
      </c>
      <c r="E12" s="198">
        <f>IF(B12&lt;=$C$2,1,IF(B12=$C$2+1,PRODUCT($D$5:D12),E11*D12))</f>
        <v>0.21030007785590218</v>
      </c>
      <c r="F12" s="10">
        <f t="shared" si="0"/>
        <v>0.73069020500198378</v>
      </c>
      <c r="G12" s="10">
        <f t="shared" si="5"/>
        <v>0.15366420700046232</v>
      </c>
      <c r="I12" s="13">
        <f t="shared" si="1"/>
        <v>1051.500389279511</v>
      </c>
      <c r="J12" s="11">
        <f>(SUM(G13:$G$79)*$I$1)</f>
        <v>1665.6934714963008</v>
      </c>
      <c r="K12" s="11">
        <f t="shared" si="6"/>
        <v>-768.32103500231187</v>
      </c>
      <c r="Q12" s="65">
        <v>8</v>
      </c>
      <c r="R12" s="66">
        <f>Inputs!H15</f>
        <v>1.4300000000000001E-4</v>
      </c>
    </row>
    <row r="13" spans="1:18" x14ac:dyDescent="0.25">
      <c r="A13">
        <f t="shared" si="2"/>
        <v>99</v>
      </c>
      <c r="B13">
        <v>9</v>
      </c>
      <c r="C13" s="12">
        <f t="shared" si="3"/>
        <v>0.25039699999999998</v>
      </c>
      <c r="D13" s="10">
        <f t="shared" si="4"/>
        <v>0.74960300000000002</v>
      </c>
      <c r="E13" s="198">
        <f>IF(B13&lt;=$C$2,1,IF(B13=$C$2+1,PRODUCT($D$5:D13),E12*D13))</f>
        <v>0.15764156926101786</v>
      </c>
      <c r="F13" s="10">
        <f t="shared" si="0"/>
        <v>0.70258673557883045</v>
      </c>
      <c r="G13" s="10">
        <f t="shared" si="5"/>
        <v>0.11075687553862264</v>
      </c>
      <c r="I13" s="13">
        <f t="shared" si="1"/>
        <v>788.20784630508933</v>
      </c>
      <c r="J13" s="11">
        <f>(SUM(G14:$G$79)*$I$1)</f>
        <v>1111.9090938031873</v>
      </c>
      <c r="K13" s="11">
        <f t="shared" si="6"/>
        <v>-553.78437769311358</v>
      </c>
      <c r="Q13" s="65">
        <v>9</v>
      </c>
      <c r="R13" s="66">
        <f>Inputs!H16</f>
        <v>1.2899999999999999E-4</v>
      </c>
    </row>
    <row r="14" spans="1:18" x14ac:dyDescent="0.25">
      <c r="A14">
        <f t="shared" si="2"/>
        <v>100</v>
      </c>
      <c r="B14">
        <v>10</v>
      </c>
      <c r="C14" s="12">
        <f t="shared" si="3"/>
        <v>0.26860699999999998</v>
      </c>
      <c r="D14" s="10">
        <f t="shared" si="4"/>
        <v>0.73139299999999996</v>
      </c>
      <c r="E14" s="198">
        <f>IF(B14&lt;=$C$2,1,IF(B14=$C$2+1,PRODUCT($D$5:D14),E13*D14))</f>
        <v>0.11529794026652362</v>
      </c>
      <c r="F14" s="10">
        <f t="shared" si="0"/>
        <v>0.67556416882579851</v>
      </c>
      <c r="G14" s="10">
        <f t="shared" si="5"/>
        <v>7.7891157183480594E-2</v>
      </c>
      <c r="I14" s="13">
        <f t="shared" si="1"/>
        <v>576.4897013326181</v>
      </c>
      <c r="J14" s="11">
        <f>(SUM(G15:$G$79)*$I$1)</f>
        <v>722.4533078857844</v>
      </c>
      <c r="K14" s="11">
        <f t="shared" si="6"/>
        <v>-389.45578591740286</v>
      </c>
      <c r="Q14" s="65">
        <v>10</v>
      </c>
      <c r="R14" s="66">
        <f>Inputs!H17</f>
        <v>1.13E-4</v>
      </c>
    </row>
    <row r="15" spans="1:18" x14ac:dyDescent="0.25">
      <c r="A15">
        <f t="shared" si="2"/>
        <v>101</v>
      </c>
      <c r="B15">
        <v>11</v>
      </c>
      <c r="C15" s="12">
        <f t="shared" si="3"/>
        <v>0.290016</v>
      </c>
      <c r="D15" s="10">
        <f t="shared" si="4"/>
        <v>0.70998399999999995</v>
      </c>
      <c r="E15" s="198">
        <f>IF(B15&lt;=$C$2,1,IF(B15=$C$2+1,PRODUCT($D$5:D15),E14*D15))</f>
        <v>8.1859692822187496E-2</v>
      </c>
      <c r="F15" s="10">
        <f t="shared" si="0"/>
        <v>0.6495809315632679</v>
      </c>
      <c r="G15" s="10">
        <f t="shared" si="5"/>
        <v>5.3174495520919511E-2</v>
      </c>
      <c r="I15" s="13">
        <f t="shared" si="1"/>
        <v>409.29846411093746</v>
      </c>
      <c r="J15" s="11">
        <f>(SUM(G16:$G$79)*$I$1)</f>
        <v>456.58083028118688</v>
      </c>
      <c r="K15" s="11">
        <f t="shared" si="6"/>
        <v>-265.87247760459752</v>
      </c>
      <c r="Q15" s="65">
        <v>11</v>
      </c>
      <c r="R15" s="66">
        <f>Inputs!H18</f>
        <v>1.11E-4</v>
      </c>
    </row>
    <row r="16" spans="1:18" x14ac:dyDescent="0.25">
      <c r="A16">
        <f t="shared" si="2"/>
        <v>102</v>
      </c>
      <c r="B16">
        <v>12</v>
      </c>
      <c r="C16" s="12">
        <f t="shared" si="3"/>
        <v>0.31184899999999999</v>
      </c>
      <c r="D16" s="10">
        <f t="shared" si="4"/>
        <v>0.68815099999999996</v>
      </c>
      <c r="E16" s="198">
        <f>IF(B16&lt;=$C$2,1,IF(B16=$C$2+1,PRODUCT($D$5:D16),E15*D16))</f>
        <v>5.6331829475281148E-2</v>
      </c>
      <c r="F16" s="10">
        <f t="shared" si="0"/>
        <v>0.62459704958006512</v>
      </c>
      <c r="G16" s="10">
        <f t="shared" si="5"/>
        <v>3.5184694487707953E-2</v>
      </c>
      <c r="I16" s="13">
        <f t="shared" si="1"/>
        <v>281.65914737640571</v>
      </c>
      <c r="J16" s="11">
        <f>(SUM(G17:$G$79)*$I$1)</f>
        <v>280.65735784264712</v>
      </c>
      <c r="K16" s="11">
        <f t="shared" si="6"/>
        <v>-175.92347243853976</v>
      </c>
      <c r="Q16" s="65">
        <v>12</v>
      </c>
      <c r="R16" s="66">
        <f>Inputs!H19</f>
        <v>1.3200000000000001E-4</v>
      </c>
    </row>
    <row r="17" spans="1:18" x14ac:dyDescent="0.25">
      <c r="A17">
        <f t="shared" si="2"/>
        <v>103</v>
      </c>
      <c r="B17">
        <v>13</v>
      </c>
      <c r="C17" s="12">
        <f t="shared" si="3"/>
        <v>0.33396199999999998</v>
      </c>
      <c r="D17" s="10">
        <f t="shared" si="4"/>
        <v>0.66603800000000002</v>
      </c>
      <c r="E17" s="198">
        <f>IF(B17&lt;=$C$2,1,IF(B17=$C$2+1,PRODUCT($D$5:D17),E16*D17))</f>
        <v>3.7519139040057305E-2</v>
      </c>
      <c r="F17" s="10">
        <f t="shared" si="0"/>
        <v>0.600574086134678</v>
      </c>
      <c r="G17" s="10">
        <f t="shared" si="5"/>
        <v>2.2533022641542336E-2</v>
      </c>
      <c r="I17" s="13">
        <f t="shared" si="1"/>
        <v>187.59569520028651</v>
      </c>
      <c r="J17" s="11">
        <f>(SUM(G18:$G$79)*$I$1)</f>
        <v>167.99224463493547</v>
      </c>
      <c r="K17" s="11">
        <f t="shared" si="6"/>
        <v>-112.66511320771164</v>
      </c>
      <c r="Q17" s="65">
        <v>13</v>
      </c>
      <c r="R17" s="66">
        <f>Inputs!H20</f>
        <v>1.6899999999999999E-4</v>
      </c>
    </row>
    <row r="18" spans="1:18" x14ac:dyDescent="0.25">
      <c r="A18">
        <f t="shared" si="2"/>
        <v>104</v>
      </c>
      <c r="B18">
        <v>14</v>
      </c>
      <c r="C18" s="12">
        <f t="shared" si="3"/>
        <v>0.356207</v>
      </c>
      <c r="D18" s="10">
        <f t="shared" si="4"/>
        <v>0.64379300000000006</v>
      </c>
      <c r="E18" s="198">
        <f>IF(B18&lt;=$C$2,1,IF(B18=$C$2+1,PRODUCT($D$5:D18),E17*D18))</f>
        <v>2.4154559080015615E-2</v>
      </c>
      <c r="F18" s="10">
        <f t="shared" si="0"/>
        <v>0.57747508282180582</v>
      </c>
      <c r="G18" s="10">
        <f t="shared" si="5"/>
        <v>1.3948656005256219E-2</v>
      </c>
      <c r="I18" s="13">
        <f t="shared" si="1"/>
        <v>120.77279540007807</v>
      </c>
      <c r="J18" s="11">
        <f>(SUM(G19:$G$79)*$I$1)</f>
        <v>98.24896460865439</v>
      </c>
      <c r="K18" s="11">
        <f t="shared" si="6"/>
        <v>-69.743280026281084</v>
      </c>
      <c r="Q18" s="65">
        <v>14</v>
      </c>
      <c r="R18" s="66">
        <f>Inputs!H21</f>
        <v>2.13E-4</v>
      </c>
    </row>
    <row r="19" spans="1:18" x14ac:dyDescent="0.25">
      <c r="A19">
        <f t="shared" si="2"/>
        <v>105</v>
      </c>
      <c r="B19">
        <v>15</v>
      </c>
      <c r="C19" s="12">
        <f t="shared" si="3"/>
        <v>0.38</v>
      </c>
      <c r="D19" s="10">
        <f t="shared" si="4"/>
        <v>0.62</v>
      </c>
      <c r="E19" s="198">
        <f>IF(B19&lt;=$C$2,1,IF(B19=$C$2+1,PRODUCT($D$5:D19),E18*D19))</f>
        <v>1.4975826629609681E-2</v>
      </c>
      <c r="F19" s="10">
        <f t="shared" si="0"/>
        <v>0.55526450271327477</v>
      </c>
      <c r="G19" s="10">
        <f t="shared" si="5"/>
        <v>8.3155449262104376E-3</v>
      </c>
      <c r="I19" s="13">
        <f t="shared" si="1"/>
        <v>74.87913314804841</v>
      </c>
      <c r="J19" s="11">
        <f>(SUM(G20:$G$79)*$I$1)</f>
        <v>56.67123997760217</v>
      </c>
      <c r="K19" s="11">
        <f t="shared" si="6"/>
        <v>-41.57772463105222</v>
      </c>
      <c r="Q19" s="65">
        <v>15</v>
      </c>
      <c r="R19" s="66">
        <f>Inputs!H22</f>
        <v>2.5399999999999999E-4</v>
      </c>
    </row>
    <row r="20" spans="1:18" x14ac:dyDescent="0.25">
      <c r="A20">
        <f t="shared" si="2"/>
        <v>106</v>
      </c>
      <c r="B20">
        <v>16</v>
      </c>
      <c r="C20" s="12">
        <f t="shared" si="3"/>
        <v>0.4</v>
      </c>
      <c r="D20" s="10">
        <f t="shared" si="4"/>
        <v>0.6</v>
      </c>
      <c r="E20" s="198">
        <f>IF(B20&lt;=$C$2,1,IF(B20=$C$2+1,PRODUCT($D$5:D20),E19*D20))</f>
        <v>8.9854959777658089E-3</v>
      </c>
      <c r="F20" s="10">
        <f t="shared" si="0"/>
        <v>0.53390817568584104</v>
      </c>
      <c r="G20" s="10">
        <f t="shared" si="5"/>
        <v>4.7974297651214052E-3</v>
      </c>
      <c r="I20" s="13">
        <f t="shared" si="1"/>
        <v>44.927479888829048</v>
      </c>
      <c r="J20" s="11">
        <f>(SUM(G21:$G$79)*$I$1)</f>
        <v>32.684091151995155</v>
      </c>
      <c r="K20" s="11">
        <f t="shared" si="6"/>
        <v>-23.987148825607015</v>
      </c>
      <c r="Q20" s="65">
        <v>16</v>
      </c>
      <c r="R20" s="66">
        <f>Inputs!H23</f>
        <v>2.9300000000000002E-4</v>
      </c>
    </row>
    <row r="21" spans="1:18" x14ac:dyDescent="0.25">
      <c r="A21">
        <f t="shared" si="2"/>
        <v>107</v>
      </c>
      <c r="B21">
        <v>17</v>
      </c>
      <c r="C21" s="12">
        <f t="shared" si="3"/>
        <v>0.4</v>
      </c>
      <c r="D21" s="10">
        <f t="shared" si="4"/>
        <v>0.6</v>
      </c>
      <c r="E21" s="198">
        <f>IF(B21&lt;=$C$2,1,IF(B21=$C$2+1,PRODUCT($D$5:D21),E20*D21))</f>
        <v>5.3912975866594855E-3</v>
      </c>
      <c r="F21" s="10">
        <f t="shared" si="0"/>
        <v>0.51337324585177024</v>
      </c>
      <c r="G21" s="10">
        <f t="shared" si="5"/>
        <v>2.7677479414161955E-3</v>
      </c>
      <c r="I21" s="13">
        <f t="shared" si="1"/>
        <v>26.956487933297428</v>
      </c>
      <c r="J21" s="11">
        <f>(SUM(G22:$G$79)*$I$1)</f>
        <v>18.845351444914176</v>
      </c>
      <c r="K21" s="11">
        <f t="shared" si="6"/>
        <v>-13.838739707080979</v>
      </c>
      <c r="Q21" s="65">
        <v>17</v>
      </c>
      <c r="R21" s="66">
        <f>Inputs!H24</f>
        <v>3.28E-4</v>
      </c>
    </row>
    <row r="22" spans="1:18" x14ac:dyDescent="0.25">
      <c r="A22">
        <f t="shared" si="2"/>
        <v>108</v>
      </c>
      <c r="B22">
        <v>18</v>
      </c>
      <c r="C22" s="12">
        <f t="shared" si="3"/>
        <v>0.4</v>
      </c>
      <c r="D22" s="10">
        <f t="shared" si="4"/>
        <v>0.6</v>
      </c>
      <c r="E22" s="198">
        <f>IF(B22&lt;=$C$2,1,IF(B22=$C$2+1,PRODUCT($D$5:D22),E21*D22))</f>
        <v>3.2347785519956911E-3</v>
      </c>
      <c r="F22" s="10">
        <f t="shared" si="0"/>
        <v>0.49362812101131748</v>
      </c>
      <c r="G22" s="10">
        <f t="shared" si="5"/>
        <v>1.5967776585093434E-3</v>
      </c>
      <c r="I22" s="13">
        <f t="shared" si="1"/>
        <v>16.173892759978454</v>
      </c>
      <c r="J22" s="11">
        <f>(SUM(G23:$G$79)*$I$1)</f>
        <v>10.861463152367456</v>
      </c>
      <c r="K22" s="11">
        <f t="shared" si="6"/>
        <v>-7.9838882925467196</v>
      </c>
      <c r="Q22" s="65">
        <v>18</v>
      </c>
      <c r="R22" s="66">
        <f>Inputs!H25</f>
        <v>3.59E-4</v>
      </c>
    </row>
    <row r="23" spans="1:18" x14ac:dyDescent="0.25">
      <c r="A23">
        <f t="shared" si="2"/>
        <v>109</v>
      </c>
      <c r="B23">
        <v>19</v>
      </c>
      <c r="C23" s="12">
        <f t="shared" si="3"/>
        <v>0.4</v>
      </c>
      <c r="D23" s="10">
        <f t="shared" si="4"/>
        <v>0.6</v>
      </c>
      <c r="E23" s="198">
        <f>IF(B23&lt;=$C$2,1,IF(B23=$C$2+1,PRODUCT($D$5:D23),E22*D23))</f>
        <v>1.9408671311974147E-3</v>
      </c>
      <c r="F23" s="10">
        <f t="shared" si="0"/>
        <v>0.47464242404934376</v>
      </c>
      <c r="G23" s="10">
        <f t="shared" si="5"/>
        <v>9.2121787990923662E-4</v>
      </c>
      <c r="I23" s="13">
        <f t="shared" si="1"/>
        <v>9.704335655987073</v>
      </c>
      <c r="J23" s="11">
        <f>(SUM(G24:$G$79)*$I$1)</f>
        <v>6.2553737528212778</v>
      </c>
      <c r="K23" s="11">
        <f t="shared" si="6"/>
        <v>-4.6060893995461782</v>
      </c>
      <c r="Q23" s="65">
        <v>19</v>
      </c>
      <c r="R23" s="66">
        <f>Inputs!H26</f>
        <v>3.8699999999999997E-4</v>
      </c>
    </row>
    <row r="24" spans="1:18" x14ac:dyDescent="0.25">
      <c r="A24">
        <f t="shared" si="2"/>
        <v>110</v>
      </c>
      <c r="B24">
        <v>20</v>
      </c>
      <c r="C24" s="12">
        <f t="shared" si="3"/>
        <v>0.4</v>
      </c>
      <c r="D24" s="10">
        <f t="shared" si="4"/>
        <v>0.6</v>
      </c>
      <c r="E24" s="198">
        <f>IF(B24&lt;=$C$2,1,IF(B24=$C$2+1,PRODUCT($D$5:D24),E23*D24))</f>
        <v>1.1645202787184488E-3</v>
      </c>
      <c r="F24" s="10">
        <f t="shared" si="0"/>
        <v>0.45638694620129205</v>
      </c>
      <c r="G24" s="10">
        <f t="shared" si="5"/>
        <v>5.3147185379379027E-4</v>
      </c>
      <c r="I24" s="13">
        <f t="shared" si="1"/>
        <v>5.8226013935922438</v>
      </c>
      <c r="J24" s="11">
        <f>(SUM(G25:$G$79)*$I$1)</f>
        <v>3.5980144838523258</v>
      </c>
      <c r="K24" s="11">
        <f t="shared" si="6"/>
        <v>-2.657359268968952</v>
      </c>
      <c r="Q24" s="65">
        <v>20</v>
      </c>
      <c r="R24" s="66">
        <f>Inputs!H27</f>
        <v>4.1399999999999998E-4</v>
      </c>
    </row>
    <row r="25" spans="1:18" x14ac:dyDescent="0.25">
      <c r="A25">
        <f t="shared" si="2"/>
        <v>111</v>
      </c>
      <c r="B25">
        <v>21</v>
      </c>
      <c r="C25" s="12">
        <f t="shared" si="3"/>
        <v>0.4</v>
      </c>
      <c r="D25" s="10">
        <f t="shared" si="4"/>
        <v>0.6</v>
      </c>
      <c r="E25" s="198">
        <f>IF(B25&lt;=$C$2,1,IF(B25=$C$2+1,PRODUCT($D$5:D25),E24*D25))</f>
        <v>6.9871216723106926E-4</v>
      </c>
      <c r="F25" s="10">
        <f t="shared" si="0"/>
        <v>0.43883360211662686</v>
      </c>
      <c r="G25" s="10">
        <f t="shared" si="5"/>
        <v>3.0661837718872512E-4</v>
      </c>
      <c r="I25" s="13">
        <f t="shared" si="1"/>
        <v>3.4935608361553463</v>
      </c>
      <c r="J25" s="11">
        <f>(SUM(G26:$G$79)*$I$1)</f>
        <v>2.0649225979087</v>
      </c>
      <c r="K25" s="11">
        <f t="shared" si="6"/>
        <v>-1.5330918859436258</v>
      </c>
      <c r="Q25" s="65">
        <v>21</v>
      </c>
      <c r="R25" s="66">
        <f>Inputs!H28</f>
        <v>4.4299999999999998E-4</v>
      </c>
    </row>
    <row r="26" spans="1:18" x14ac:dyDescent="0.25">
      <c r="A26">
        <f t="shared" si="2"/>
        <v>112</v>
      </c>
      <c r="B26">
        <v>22</v>
      </c>
      <c r="C26" s="12">
        <f t="shared" si="3"/>
        <v>0.4</v>
      </c>
      <c r="D26" s="10">
        <f t="shared" si="4"/>
        <v>0.6</v>
      </c>
      <c r="E26" s="198">
        <f>IF(B26&lt;=$C$2,1,IF(B26=$C$2+1,PRODUCT($D$5:D26),E25*D26))</f>
        <v>4.1922730033864153E-4</v>
      </c>
      <c r="F26" s="10">
        <f t="shared" si="0"/>
        <v>0.42195538665060278</v>
      </c>
      <c r="G26" s="10">
        <f t="shared" si="5"/>
        <v>1.7689521760887986E-4</v>
      </c>
      <c r="I26" s="13">
        <f t="shared" si="1"/>
        <v>2.0961365016932079</v>
      </c>
      <c r="J26" s="11">
        <f>(SUM(G27:$G$79)*$I$1)</f>
        <v>1.1804465098643007</v>
      </c>
      <c r="K26" s="11">
        <f t="shared" si="6"/>
        <v>-0.88447608804439937</v>
      </c>
      <c r="Q26" s="65">
        <v>22</v>
      </c>
      <c r="R26" s="66">
        <f>Inputs!H29</f>
        <v>4.73E-4</v>
      </c>
    </row>
    <row r="27" spans="1:18" x14ac:dyDescent="0.25">
      <c r="A27">
        <f t="shared" si="2"/>
        <v>113</v>
      </c>
      <c r="B27">
        <v>23</v>
      </c>
      <c r="C27" s="12">
        <f t="shared" si="3"/>
        <v>0.4</v>
      </c>
      <c r="D27" s="10">
        <f t="shared" si="4"/>
        <v>0.6</v>
      </c>
      <c r="E27" s="198">
        <f>IF(B27&lt;=$C$2,1,IF(B27=$C$2+1,PRODUCT($D$5:D27),E26*D27))</f>
        <v>2.5153638020318492E-4</v>
      </c>
      <c r="F27" s="10">
        <f t="shared" si="0"/>
        <v>0.40572633331788732</v>
      </c>
      <c r="G27" s="10">
        <f t="shared" si="5"/>
        <v>1.0205493323589223E-4</v>
      </c>
      <c r="I27" s="13">
        <f t="shared" si="1"/>
        <v>1.2576819010159246</v>
      </c>
      <c r="J27" s="11">
        <f>(SUM(G28:$G$79)*$I$1)</f>
        <v>0.67017184368483951</v>
      </c>
      <c r="K27" s="11">
        <f t="shared" si="6"/>
        <v>-0.51027466617946116</v>
      </c>
      <c r="Q27" s="65">
        <v>23</v>
      </c>
      <c r="R27" s="66">
        <f>Inputs!H30</f>
        <v>5.13E-4</v>
      </c>
    </row>
    <row r="28" spans="1:18" x14ac:dyDescent="0.25">
      <c r="A28">
        <f t="shared" si="2"/>
        <v>114</v>
      </c>
      <c r="B28">
        <v>24</v>
      </c>
      <c r="C28" s="12">
        <f t="shared" si="3"/>
        <v>0.4</v>
      </c>
      <c r="D28" s="10">
        <f t="shared" si="4"/>
        <v>0.6</v>
      </c>
      <c r="E28" s="198">
        <f>IF(B28&lt;=$C$2,1,IF(B28=$C$2+1,PRODUCT($D$5:D28),E27*D28))</f>
        <v>1.5092182812191096E-4</v>
      </c>
      <c r="F28" s="10">
        <f t="shared" si="0"/>
        <v>0.39012147434412242</v>
      </c>
      <c r="G28" s="10">
        <f t="shared" si="5"/>
        <v>5.8877846097630142E-5</v>
      </c>
      <c r="I28" s="13">
        <f t="shared" si="1"/>
        <v>0.75460914060955475</v>
      </c>
      <c r="J28" s="11">
        <f>(SUM(G29:$G$79)*$I$1)</f>
        <v>0.37578261319668871</v>
      </c>
      <c r="K28" s="11">
        <f t="shared" si="6"/>
        <v>-0.2943892304881508</v>
      </c>
      <c r="Q28" s="65">
        <v>24</v>
      </c>
      <c r="R28" s="66">
        <f>Inputs!H31</f>
        <v>5.5400000000000002E-4</v>
      </c>
    </row>
    <row r="29" spans="1:18" x14ac:dyDescent="0.25">
      <c r="A29">
        <f t="shared" si="2"/>
        <v>115</v>
      </c>
      <c r="B29">
        <v>25</v>
      </c>
      <c r="C29" s="12">
        <f t="shared" si="3"/>
        <v>0.4</v>
      </c>
      <c r="D29" s="10">
        <f t="shared" si="4"/>
        <v>0.6</v>
      </c>
      <c r="E29" s="198">
        <f>IF(B29&lt;=$C$2,1,IF(B29=$C$2+1,PRODUCT($D$5:D29),E28*D29))</f>
        <v>9.0553096873146574E-5</v>
      </c>
      <c r="F29" s="10">
        <f t="shared" si="0"/>
        <v>0.37511680225396377</v>
      </c>
      <c r="G29" s="10">
        <f t="shared" si="5"/>
        <v>3.3967988133248147E-5</v>
      </c>
      <c r="I29" s="13">
        <f t="shared" si="1"/>
        <v>0.45276548436573288</v>
      </c>
      <c r="J29" s="11">
        <f>(SUM(G30:$G$79)*$I$1)</f>
        <v>0.20594267253044798</v>
      </c>
      <c r="K29" s="11">
        <f t="shared" si="6"/>
        <v>-0.16983994066624072</v>
      </c>
      <c r="Q29" s="65">
        <v>25</v>
      </c>
      <c r="R29" s="66">
        <f>Inputs!H32</f>
        <v>6.02E-4</v>
      </c>
    </row>
    <row r="30" spans="1:18" x14ac:dyDescent="0.25">
      <c r="A30">
        <f t="shared" si="2"/>
        <v>116</v>
      </c>
      <c r="B30">
        <v>26</v>
      </c>
      <c r="C30" s="12">
        <f t="shared" si="3"/>
        <v>0.4</v>
      </c>
      <c r="D30" s="10">
        <f t="shared" si="4"/>
        <v>0.6</v>
      </c>
      <c r="E30" s="198">
        <f>IF(B30&lt;=$C$2,1,IF(B30=$C$2+1,PRODUCT($D$5:D30),E29*D30))</f>
        <v>5.4331858123887946E-5</v>
      </c>
      <c r="F30" s="10">
        <f t="shared" si="0"/>
        <v>0.36068923293650368</v>
      </c>
      <c r="G30" s="10">
        <f t="shared" si="5"/>
        <v>1.9596916230720088E-5</v>
      </c>
      <c r="I30" s="13">
        <f t="shared" si="1"/>
        <v>0.27165929061943972</v>
      </c>
      <c r="J30" s="11">
        <f>(SUM(G31:$G$79)*$I$1)</f>
        <v>0.10795809137684753</v>
      </c>
      <c r="K30" s="11">
        <f t="shared" si="6"/>
        <v>-9.7984581153600453E-2</v>
      </c>
      <c r="Q30" s="65">
        <v>26</v>
      </c>
      <c r="R30" s="66">
        <f>Inputs!H33</f>
        <v>6.5499999999999998E-4</v>
      </c>
    </row>
    <row r="31" spans="1:18" x14ac:dyDescent="0.25">
      <c r="A31">
        <f t="shared" si="2"/>
        <v>117</v>
      </c>
      <c r="B31">
        <v>27</v>
      </c>
      <c r="C31" s="12">
        <f t="shared" si="3"/>
        <v>0.4</v>
      </c>
      <c r="D31" s="10">
        <f t="shared" si="4"/>
        <v>0.6</v>
      </c>
      <c r="E31" s="198">
        <f>IF(B31&lt;=$C$2,1,IF(B31=$C$2+1,PRODUCT($D$5:D31),E30*D31))</f>
        <v>3.2599114874332768E-5</v>
      </c>
      <c r="F31" s="10">
        <f t="shared" si="0"/>
        <v>0.3468165701312535</v>
      </c>
      <c r="G31" s="10">
        <f t="shared" si="5"/>
        <v>1.130591321003082E-5</v>
      </c>
      <c r="I31" s="13">
        <f t="shared" si="1"/>
        <v>0.16299557437166384</v>
      </c>
      <c r="J31" s="11">
        <f>(SUM(G32:$G$79)*$I$1)</f>
        <v>5.1428525326693439E-2</v>
      </c>
      <c r="K31" s="11">
        <f t="shared" si="6"/>
        <v>-5.6529566050154093E-2</v>
      </c>
      <c r="Q31" s="65">
        <v>27</v>
      </c>
      <c r="R31" s="66">
        <f>Inputs!H34</f>
        <v>6.8800000000000003E-4</v>
      </c>
    </row>
    <row r="32" spans="1:18" x14ac:dyDescent="0.25">
      <c r="A32">
        <f t="shared" si="2"/>
        <v>118</v>
      </c>
      <c r="B32">
        <v>28</v>
      </c>
      <c r="C32" s="12">
        <f t="shared" si="3"/>
        <v>0.4</v>
      </c>
      <c r="D32" s="10">
        <f t="shared" si="4"/>
        <v>0.6</v>
      </c>
      <c r="E32" s="198">
        <f>IF(B32&lt;=$C$2,1,IF(B32=$C$2+1,PRODUCT($D$5:D32),E31*D32))</f>
        <v>1.9559468924599661E-5</v>
      </c>
      <c r="F32" s="10">
        <f t="shared" si="0"/>
        <v>0.3334774712800514</v>
      </c>
      <c r="G32" s="10">
        <f t="shared" si="5"/>
        <v>6.522642236556241E-6</v>
      </c>
      <c r="I32" s="13">
        <f t="shared" si="1"/>
        <v>9.77973446229983E-2</v>
      </c>
      <c r="J32" s="11">
        <f>(SUM(G33:$G$79)*$I$1)</f>
        <v>1.8815314143912232E-2</v>
      </c>
      <c r="K32" s="11">
        <f t="shared" si="6"/>
        <v>-3.261321118278121E-2</v>
      </c>
      <c r="Q32" s="65">
        <v>28</v>
      </c>
      <c r="R32" s="66">
        <f>Inputs!H35</f>
        <v>7.1000000000000002E-4</v>
      </c>
    </row>
    <row r="33" spans="1:18" x14ac:dyDescent="0.25">
      <c r="A33">
        <f t="shared" si="2"/>
        <v>119</v>
      </c>
      <c r="B33">
        <v>29</v>
      </c>
      <c r="C33" s="12">
        <f t="shared" si="3"/>
        <v>0.4</v>
      </c>
      <c r="D33" s="10">
        <f t="shared" si="4"/>
        <v>0.6</v>
      </c>
      <c r="E33" s="198">
        <f>IF(B33&lt;=$C$2,1,IF(B33=$C$2+1,PRODUCT($D$5:D33),E32*D33))</f>
        <v>1.1735681354759797E-5</v>
      </c>
      <c r="F33" s="10">
        <f t="shared" si="0"/>
        <v>0.32065141469235708</v>
      </c>
      <c r="G33" s="10">
        <f t="shared" si="5"/>
        <v>3.7630628287824465E-6</v>
      </c>
      <c r="I33" s="13">
        <f t="shared" si="1"/>
        <v>5.8678406773798986E-2</v>
      </c>
      <c r="J33" s="11">
        <f>(SUM(G34:$G$79)*$I$1)</f>
        <v>0</v>
      </c>
      <c r="K33" s="11">
        <f t="shared" si="6"/>
        <v>-1.8815314143912232E-2</v>
      </c>
      <c r="Q33" s="65">
        <v>29</v>
      </c>
      <c r="R33" s="66">
        <f>Inputs!H36</f>
        <v>7.27E-4</v>
      </c>
    </row>
    <row r="34" spans="1:18" x14ac:dyDescent="0.25">
      <c r="A34">
        <f t="shared" si="2"/>
        <v>120</v>
      </c>
      <c r="B34">
        <v>30</v>
      </c>
      <c r="C34" s="12">
        <f t="shared" si="3"/>
        <v>1</v>
      </c>
      <c r="D34" s="10">
        <f t="shared" si="4"/>
        <v>0</v>
      </c>
      <c r="E34" s="198">
        <f>IF(B34&lt;=$C$2,1,IF(B34=$C$2+1,PRODUCT($D$5:D34),E33*D34))</f>
        <v>0</v>
      </c>
      <c r="F34" s="10">
        <f t="shared" si="0"/>
        <v>0</v>
      </c>
      <c r="G34" s="10">
        <f t="shared" si="5"/>
        <v>0</v>
      </c>
      <c r="I34" s="13">
        <f t="shared" si="1"/>
        <v>0</v>
      </c>
      <c r="J34" s="11">
        <f>(SUM(G35:$G$79)*$I$1)</f>
        <v>0</v>
      </c>
      <c r="K34" s="11">
        <f t="shared" si="6"/>
        <v>0</v>
      </c>
      <c r="Q34" s="65">
        <v>30</v>
      </c>
      <c r="R34" s="66">
        <f>Inputs!H37</f>
        <v>7.4100000000000001E-4</v>
      </c>
    </row>
    <row r="35" spans="1:18" x14ac:dyDescent="0.25">
      <c r="C35" s="12"/>
      <c r="D35" s="10"/>
      <c r="E35" s="10"/>
      <c r="F35" s="10"/>
      <c r="G35" s="10"/>
      <c r="I35" s="13"/>
      <c r="J35" s="11"/>
      <c r="K35" s="11"/>
      <c r="Q35" s="65">
        <v>31</v>
      </c>
      <c r="R35" s="66">
        <f>Inputs!H38</f>
        <v>7.5100000000000004E-4</v>
      </c>
    </row>
    <row r="36" spans="1:18" x14ac:dyDescent="0.25">
      <c r="C36" s="12"/>
      <c r="D36" s="10"/>
      <c r="E36" s="10"/>
      <c r="F36" s="10"/>
      <c r="G36" s="10"/>
      <c r="I36" s="13"/>
      <c r="J36" s="11"/>
      <c r="K36" s="11"/>
      <c r="Q36" s="65">
        <v>32</v>
      </c>
      <c r="R36" s="66">
        <f>Inputs!H39</f>
        <v>7.54E-4</v>
      </c>
    </row>
    <row r="37" spans="1:18" x14ac:dyDescent="0.25">
      <c r="C37" s="12"/>
      <c r="D37" s="10"/>
      <c r="E37" s="10"/>
      <c r="F37" s="10"/>
      <c r="G37" s="10"/>
      <c r="I37" s="13"/>
      <c r="J37" s="11"/>
      <c r="K37" s="11"/>
      <c r="Q37" s="65">
        <v>33</v>
      </c>
      <c r="R37" s="66">
        <f>Inputs!H40</f>
        <v>7.5600000000000005E-4</v>
      </c>
    </row>
    <row r="38" spans="1:18" x14ac:dyDescent="0.25">
      <c r="C38" s="12"/>
      <c r="D38" s="10"/>
      <c r="E38" s="10"/>
      <c r="F38" s="10"/>
      <c r="G38" s="10"/>
      <c r="I38" s="13"/>
      <c r="J38" s="11"/>
      <c r="K38" s="11"/>
      <c r="Q38" s="65">
        <v>34</v>
      </c>
      <c r="R38" s="66">
        <f>Inputs!H41</f>
        <v>7.5600000000000005E-4</v>
      </c>
    </row>
    <row r="39" spans="1:18" x14ac:dyDescent="0.25">
      <c r="C39" s="12"/>
      <c r="D39" s="10"/>
      <c r="E39" s="10"/>
      <c r="F39" s="10"/>
      <c r="G39" s="10"/>
      <c r="I39" s="13"/>
      <c r="J39" s="11"/>
      <c r="K39" s="11"/>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c r="E132" s="35"/>
      <c r="F132" s="3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4">
    <cfRule type="cellIs" dxfId="9"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10" workbookViewId="0">
      <selection activeCell="A36" sqref="A36:A43"/>
    </sheetView>
  </sheetViews>
  <sheetFormatPr defaultRowHeight="15" x14ac:dyDescent="0.25"/>
  <cols>
    <col min="1" max="1" width="61.125" customWidth="1"/>
    <col min="2" max="2" width="15.125" customWidth="1"/>
    <col min="3" max="3" width="13.25" customWidth="1"/>
    <col min="4" max="4" width="15.125" customWidth="1"/>
    <col min="5" max="7" width="13.25" customWidth="1"/>
    <col min="8" max="8" width="12.25" customWidth="1"/>
  </cols>
  <sheetData>
    <row r="1" spans="1:8" ht="26.25" x14ac:dyDescent="0.4">
      <c r="A1" s="110" t="s">
        <v>82</v>
      </c>
    </row>
    <row r="2" spans="1:8" x14ac:dyDescent="0.25">
      <c r="A2" s="33"/>
      <c r="B2" s="33"/>
      <c r="C2" s="33"/>
      <c r="D2" s="33"/>
      <c r="E2" s="33"/>
      <c r="F2" s="33"/>
    </row>
    <row r="3" spans="1:8" ht="18.75" x14ac:dyDescent="0.3">
      <c r="A3" s="108" t="s">
        <v>93</v>
      </c>
      <c r="B3" s="33"/>
      <c r="C3" s="33"/>
      <c r="D3" s="33"/>
      <c r="E3" s="33"/>
      <c r="F3" s="33"/>
      <c r="G3" s="33"/>
    </row>
    <row r="4" spans="1:8" x14ac:dyDescent="0.25">
      <c r="A4" s="51"/>
      <c r="B4" s="34"/>
      <c r="C4" s="34" t="s">
        <v>81</v>
      </c>
      <c r="D4" s="34"/>
      <c r="E4" s="36"/>
    </row>
    <row r="5" spans="1:8" x14ac:dyDescent="0.25">
      <c r="A5" s="97" t="s">
        <v>92</v>
      </c>
      <c r="B5" s="37" t="s">
        <v>28</v>
      </c>
      <c r="C5" s="38" t="s">
        <v>29</v>
      </c>
      <c r="D5" s="37" t="s">
        <v>30</v>
      </c>
      <c r="E5" s="39" t="s">
        <v>31</v>
      </c>
    </row>
    <row r="6" spans="1:8" x14ac:dyDescent="0.25">
      <c r="A6" s="40" t="s">
        <v>38</v>
      </c>
      <c r="B6" s="41" t="s">
        <v>27</v>
      </c>
      <c r="C6" s="42" t="s">
        <v>26</v>
      </c>
      <c r="D6" s="43" t="s">
        <v>25</v>
      </c>
      <c r="E6" s="44" t="s">
        <v>32</v>
      </c>
    </row>
    <row r="7" spans="1:8" x14ac:dyDescent="0.25">
      <c r="A7" s="40" t="s">
        <v>39</v>
      </c>
      <c r="B7" s="42" t="s">
        <v>26</v>
      </c>
      <c r="C7" s="42" t="s">
        <v>26</v>
      </c>
      <c r="D7" s="43" t="s">
        <v>25</v>
      </c>
      <c r="E7" s="44" t="s">
        <v>32</v>
      </c>
    </row>
    <row r="8" spans="1:8" x14ac:dyDescent="0.25">
      <c r="A8" s="40" t="s">
        <v>40</v>
      </c>
      <c r="B8" s="43" t="s">
        <v>25</v>
      </c>
      <c r="C8" s="43" t="s">
        <v>25</v>
      </c>
      <c r="D8" s="43" t="s">
        <v>25</v>
      </c>
      <c r="E8" s="44" t="s">
        <v>32</v>
      </c>
    </row>
    <row r="9" spans="1:8" x14ac:dyDescent="0.25">
      <c r="A9" s="45" t="s">
        <v>41</v>
      </c>
      <c r="B9" s="46" t="s">
        <v>32</v>
      </c>
      <c r="C9" s="46" t="s">
        <v>32</v>
      </c>
      <c r="D9" s="46" t="s">
        <v>32</v>
      </c>
      <c r="E9" s="47" t="s">
        <v>32</v>
      </c>
    </row>
    <row r="11" spans="1:8" ht="18.75" x14ac:dyDescent="0.3">
      <c r="A11" s="111" t="s">
        <v>37</v>
      </c>
      <c r="B11" s="140" t="s">
        <v>110</v>
      </c>
      <c r="C11" s="26"/>
      <c r="E11" s="26"/>
      <c r="F11" s="113" t="s">
        <v>94</v>
      </c>
    </row>
    <row r="12" spans="1:8" ht="18.75" x14ac:dyDescent="0.3">
      <c r="A12" s="111"/>
      <c r="B12" s="141" t="s">
        <v>111</v>
      </c>
      <c r="C12" s="26"/>
      <c r="E12" s="26"/>
      <c r="F12" s="113"/>
    </row>
    <row r="13" spans="1:8" ht="16.5" thickBot="1" x14ac:dyDescent="0.3">
      <c r="F13" s="109" t="s">
        <v>99</v>
      </c>
    </row>
    <row r="14" spans="1:8" ht="18.75" x14ac:dyDescent="0.3">
      <c r="A14" s="84"/>
      <c r="B14" s="95" t="s">
        <v>36</v>
      </c>
      <c r="D14" s="95" t="s">
        <v>95</v>
      </c>
      <c r="E14" s="98" t="s">
        <v>130</v>
      </c>
      <c r="F14" s="98" t="s">
        <v>131</v>
      </c>
      <c r="G14" s="98" t="s">
        <v>97</v>
      </c>
      <c r="H14" s="87" t="s">
        <v>98</v>
      </c>
    </row>
    <row r="15" spans="1:8" ht="16.5" thickBot="1" x14ac:dyDescent="0.3">
      <c r="A15" s="115" t="s">
        <v>100</v>
      </c>
      <c r="B15" s="96" t="s">
        <v>132</v>
      </c>
      <c r="C15" s="79"/>
      <c r="D15" s="96" t="s">
        <v>132</v>
      </c>
      <c r="E15" s="99">
        <f>'Asset and Liability Durations'!F10</f>
        <v>1.9419416363238875</v>
      </c>
      <c r="F15" s="99">
        <f>'Asset and Liability Durations'!F13</f>
        <v>4.5811183531835402</v>
      </c>
      <c r="G15" s="99">
        <f>'Asset and Liability Durations'!F18</f>
        <v>8.3392310057445282</v>
      </c>
      <c r="H15" s="88">
        <f>'Asset and Liability Durations'!F38</f>
        <v>17.728052205293707</v>
      </c>
    </row>
    <row r="16" spans="1:8" x14ac:dyDescent="0.25">
      <c r="A16" s="103" t="s">
        <v>135</v>
      </c>
      <c r="B16" s="114">
        <f>+AVERAGE('Asset and Liability Durations'!Q31:Q32,'Asset and Liability Durations'!K9)</f>
        <v>3.5866894753505285</v>
      </c>
      <c r="C16" s="48" t="s">
        <v>96</v>
      </c>
      <c r="D16" s="100">
        <f>SUMPRODUCT(E$15:H$15,E16:H16)</f>
        <v>3.6373412600098125</v>
      </c>
      <c r="E16" s="85">
        <v>0.5</v>
      </c>
      <c r="F16" s="86">
        <v>0.4</v>
      </c>
      <c r="G16" s="86">
        <v>0.1</v>
      </c>
      <c r="H16" s="89">
        <v>0</v>
      </c>
    </row>
    <row r="17" spans="1:8" x14ac:dyDescent="0.25">
      <c r="A17" s="104" t="s">
        <v>136</v>
      </c>
      <c r="B17" s="106">
        <f>+AVERAGE('Asset and Liability Durations'!Q21,'Asset and Liability Durations'!Q22,'Asset and Liability Durations'!Q23,'Asset and Liability Durations'!Q26,'Asset and Liability Durations'!Q27,'Asset and Liability Durations'!Q28,'Asset and Liability Durations'!K10)</f>
        <v>5.7284556262972073</v>
      </c>
      <c r="C17" s="48" t="s">
        <v>96</v>
      </c>
      <c r="D17" s="101">
        <f>SUMPRODUCT(E$15:H$15,E17:H17)</f>
        <v>5.7620514591274983</v>
      </c>
      <c r="E17" s="82">
        <v>0.3</v>
      </c>
      <c r="F17" s="80">
        <v>0.3</v>
      </c>
      <c r="G17" s="80">
        <v>0.35</v>
      </c>
      <c r="H17" s="90">
        <v>0.05</v>
      </c>
    </row>
    <row r="18" spans="1:8" x14ac:dyDescent="0.25">
      <c r="A18" s="104" t="s">
        <v>231</v>
      </c>
      <c r="B18" s="106">
        <f>+AVERAGE('Asset and Liability Durations'!Q15,'Asset and Liability Durations'!Q16,'Asset and Liability Durations'!Q17,'Asset and Liability Durations'!Q18,'Asset and Liability Durations'!Q19,'Asset and Liability Durations'!K11)</f>
        <v>8.3259468972891799</v>
      </c>
      <c r="C18" s="48" t="s">
        <v>96</v>
      </c>
      <c r="D18" s="101">
        <f>SUMPRODUCT(E$15:H$15,E18:H18)</f>
        <v>8.5057793097290713</v>
      </c>
      <c r="E18" s="83">
        <v>0.15</v>
      </c>
      <c r="F18" s="81">
        <v>0.2</v>
      </c>
      <c r="G18" s="81">
        <v>0.45</v>
      </c>
      <c r="H18" s="91">
        <v>0.2</v>
      </c>
    </row>
    <row r="19" spans="1:8" ht="15.75" thickBot="1" x14ac:dyDescent="0.3">
      <c r="A19" s="105" t="s">
        <v>230</v>
      </c>
      <c r="B19" s="107">
        <f>+AVERAGE('Asset and Liability Durations'!Q9:Q14,'Asset and Liability Durations'!K12)</f>
        <v>11.747691224571653</v>
      </c>
      <c r="C19" s="48" t="s">
        <v>96</v>
      </c>
      <c r="D19" s="102">
        <f>SUMPRODUCT(E$15:H$15,E19:H19)</f>
        <v>11.868524811814527</v>
      </c>
      <c r="E19" s="92">
        <v>0.05</v>
      </c>
      <c r="F19" s="93">
        <v>0.1</v>
      </c>
      <c r="G19" s="93">
        <v>0.4</v>
      </c>
      <c r="H19" s="94">
        <v>0.45</v>
      </c>
    </row>
    <row r="20" spans="1:8" x14ac:dyDescent="0.25">
      <c r="E20" s="52"/>
    </row>
    <row r="22" spans="1:8" x14ac:dyDescent="0.25">
      <c r="A22" s="1" t="s">
        <v>34</v>
      </c>
    </row>
    <row r="23" spans="1:8" x14ac:dyDescent="0.25">
      <c r="A23" s="29" t="s">
        <v>79</v>
      </c>
    </row>
    <row r="24" spans="1:8" x14ac:dyDescent="0.25">
      <c r="A24" t="s">
        <v>35</v>
      </c>
    </row>
    <row r="25" spans="1:8" x14ac:dyDescent="0.25">
      <c r="A25" t="s">
        <v>80</v>
      </c>
    </row>
    <row r="26" spans="1:8" x14ac:dyDescent="0.25">
      <c r="A26" s="29" t="s">
        <v>62</v>
      </c>
    </row>
    <row r="27" spans="1:8" x14ac:dyDescent="0.25">
      <c r="A27" s="29" t="s">
        <v>72</v>
      </c>
    </row>
    <row r="28" spans="1:8" x14ac:dyDescent="0.25">
      <c r="A28" s="29" t="s">
        <v>71</v>
      </c>
    </row>
    <row r="29" spans="1:8" x14ac:dyDescent="0.25">
      <c r="A29" s="29" t="s">
        <v>74</v>
      </c>
    </row>
    <row r="30" spans="1:8" x14ac:dyDescent="0.25">
      <c r="A30" s="29" t="s">
        <v>73</v>
      </c>
    </row>
    <row r="31" spans="1:8" x14ac:dyDescent="0.25">
      <c r="A31" s="29" t="s">
        <v>42</v>
      </c>
    </row>
    <row r="32" spans="1:8" x14ac:dyDescent="0.25">
      <c r="A32" s="29" t="s">
        <v>43</v>
      </c>
    </row>
    <row r="33" spans="1:1" x14ac:dyDescent="0.25">
      <c r="A33" s="29" t="s">
        <v>101</v>
      </c>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3" workbookViewId="0">
      <selection activeCell="D125" sqref="D125:F132"/>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154</v>
      </c>
      <c r="I1" s="3">
        <v>5000</v>
      </c>
      <c r="J1" s="181" t="s">
        <v>173</v>
      </c>
      <c r="L1" s="1"/>
      <c r="M1" s="4"/>
      <c r="N1" s="4"/>
      <c r="O1" s="4"/>
      <c r="P1" s="4"/>
      <c r="Q1" s="64"/>
      <c r="R1" s="28"/>
    </row>
    <row r="2" spans="1:18" ht="15.75" customHeight="1" thickBot="1" x14ac:dyDescent="0.3">
      <c r="B2" t="s">
        <v>227</v>
      </c>
      <c r="C2">
        <v>10</v>
      </c>
      <c r="F2" s="5">
        <f>'Asset and Liability Durations'!N33</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9">
        <f>+SUMPRODUCT(B5:B59,I5:I59,F5:F59)/SUMPRODUCT(F5:F59,I5:I59)</f>
        <v>5.3067242493717464</v>
      </c>
      <c r="N3" s="10"/>
      <c r="O3" s="10"/>
      <c r="P3" s="10"/>
      <c r="Q3" s="31"/>
      <c r="R3" s="32"/>
    </row>
    <row r="4" spans="1:18" x14ac:dyDescent="0.25">
      <c r="A4">
        <v>90</v>
      </c>
      <c r="B4">
        <v>0</v>
      </c>
      <c r="C4" s="8"/>
      <c r="D4" s="7"/>
      <c r="E4" s="7"/>
      <c r="F4" s="7"/>
      <c r="G4" s="10">
        <v>1</v>
      </c>
      <c r="J4" s="11">
        <f>(SUM(G5:$G$79)*$I$1)</f>
        <v>41276.932204660916</v>
      </c>
      <c r="Q4" s="65">
        <v>0</v>
      </c>
      <c r="R4" s="66">
        <f>Inputs!H7</f>
        <v>1.6050000000000001E-3</v>
      </c>
    </row>
    <row r="5" spans="1:18" ht="15.75" thickBot="1" x14ac:dyDescent="0.3">
      <c r="A5">
        <f>B5+$A$4</f>
        <v>91</v>
      </c>
      <c r="B5">
        <v>1</v>
      </c>
      <c r="C5" s="12">
        <f>VLOOKUP(A5,$Q$4:$R$124,2,FALSE)</f>
        <v>0.12311900000000001</v>
      </c>
      <c r="D5" s="10">
        <f>1-C5</f>
        <v>0.87688100000000002</v>
      </c>
      <c r="E5" s="198">
        <f>IF(B5&lt;=$C$2,1,IF(B5=$C$2+1,PRODUCT($D$5:D5),E4*D5))</f>
        <v>1</v>
      </c>
      <c r="F5" s="10">
        <f t="shared" ref="F5:F34" si="0">IF(D5=0,0,(1+$F$2)^-B5)</f>
        <v>0.96153846153846145</v>
      </c>
      <c r="G5" s="10">
        <f>F5*E5</f>
        <v>0.96153846153846145</v>
      </c>
      <c r="I5" s="13">
        <f t="shared" ref="I5:I34" si="1">E5*$I$1</f>
        <v>5000</v>
      </c>
      <c r="J5" s="11">
        <f>(SUM(G6:$G$79)*$I$1)</f>
        <v>36469.239896968618</v>
      </c>
      <c r="K5" s="11">
        <f>J5-J4</f>
        <v>-4807.6923076922976</v>
      </c>
      <c r="L5" s="14" t="s">
        <v>16</v>
      </c>
      <c r="M5" s="14" t="s">
        <v>17</v>
      </c>
      <c r="N5" s="14" t="s">
        <v>18</v>
      </c>
      <c r="O5" s="14" t="s">
        <v>47</v>
      </c>
      <c r="Q5" s="65">
        <v>1</v>
      </c>
      <c r="R5" s="66">
        <f>Inputs!H8</f>
        <v>4.0099999999999999E-4</v>
      </c>
    </row>
    <row r="6" spans="1:18" x14ac:dyDescent="0.25">
      <c r="A6">
        <f t="shared" ref="A6:A34" si="2">B6+$A$4</f>
        <v>92</v>
      </c>
      <c r="B6">
        <v>2</v>
      </c>
      <c r="C6" s="12">
        <f t="shared" ref="C6:C34" si="3">VLOOKUP(A6,$Q$4:$R$124,2,FALSE)</f>
        <v>0.13716800000000001</v>
      </c>
      <c r="D6" s="10">
        <f t="shared" ref="D6:D34" si="4">1-C6</f>
        <v>0.86283200000000004</v>
      </c>
      <c r="E6" s="198">
        <f>IF(B6&lt;=$C$2,1,IF(B6=$C$2+1,PRODUCT($D$5:D6),E5*D6))</f>
        <v>1</v>
      </c>
      <c r="F6" s="10">
        <f t="shared" si="0"/>
        <v>0.92455621301775137</v>
      </c>
      <c r="G6" s="10">
        <f t="shared" ref="G6:G34" si="5">F6*E6</f>
        <v>0.92455621301775137</v>
      </c>
      <c r="I6" s="13">
        <f t="shared" si="1"/>
        <v>5000</v>
      </c>
      <c r="J6" s="11">
        <f>(SUM(G7:$G$79)*$I$1)</f>
        <v>31846.458831879856</v>
      </c>
      <c r="K6" s="11">
        <f t="shared" ref="K6:K34" si="6">J6-J5</f>
        <v>-4622.7810650887623</v>
      </c>
      <c r="L6" s="14">
        <v>2</v>
      </c>
      <c r="M6" s="54" t="s">
        <v>44</v>
      </c>
      <c r="N6" s="15">
        <f>SUM(I5:I7)</f>
        <v>15000</v>
      </c>
      <c r="O6" s="16">
        <f>N6/SUM($N$6:$N$9)</f>
        <v>0.2930463848708077</v>
      </c>
      <c r="Q6" s="65">
        <v>2</v>
      </c>
      <c r="R6" s="66">
        <f>Inputs!H9</f>
        <v>2.7500000000000002E-4</v>
      </c>
    </row>
    <row r="7" spans="1:18" x14ac:dyDescent="0.25">
      <c r="A7">
        <f t="shared" si="2"/>
        <v>93</v>
      </c>
      <c r="B7">
        <v>3</v>
      </c>
      <c r="C7" s="12">
        <f t="shared" si="3"/>
        <v>0.152171</v>
      </c>
      <c r="D7" s="10">
        <f t="shared" si="4"/>
        <v>0.84782899999999994</v>
      </c>
      <c r="E7" s="198">
        <f>IF(B7&lt;=$C$2,1,IF(B7=$C$2+1,PRODUCT($D$5:D7),E6*D7))</f>
        <v>1</v>
      </c>
      <c r="F7" s="10">
        <f t="shared" si="0"/>
        <v>0.88899635867091487</v>
      </c>
      <c r="G7" s="10">
        <f t="shared" si="5"/>
        <v>0.88899635867091487</v>
      </c>
      <c r="I7" s="13">
        <f t="shared" si="1"/>
        <v>5000</v>
      </c>
      <c r="J7" s="11">
        <f>(SUM(G8:$G$79)*$I$1)</f>
        <v>27401.477038525281</v>
      </c>
      <c r="K7" s="11">
        <f t="shared" si="6"/>
        <v>-4444.9817933545746</v>
      </c>
      <c r="L7" s="14">
        <v>5</v>
      </c>
      <c r="M7" s="19" t="s">
        <v>45</v>
      </c>
      <c r="N7" s="17">
        <f>SUM(I8:I11)</f>
        <v>20000</v>
      </c>
      <c r="O7" s="18">
        <f>N7/SUM($N$6:$N$9)</f>
        <v>0.39072851316107693</v>
      </c>
      <c r="Q7" s="65">
        <v>3</v>
      </c>
      <c r="R7" s="66">
        <f>Inputs!H10</f>
        <v>2.2900000000000001E-4</v>
      </c>
    </row>
    <row r="8" spans="1:18" x14ac:dyDescent="0.25">
      <c r="A8">
        <f t="shared" si="2"/>
        <v>94</v>
      </c>
      <c r="B8">
        <v>4</v>
      </c>
      <c r="C8" s="12">
        <f t="shared" si="3"/>
        <v>0.16819400000000001</v>
      </c>
      <c r="D8" s="10">
        <f t="shared" si="4"/>
        <v>0.83180600000000005</v>
      </c>
      <c r="E8" s="198">
        <f>IF(B8&lt;=$C$2,1,IF(B8=$C$2+1,PRODUCT($D$5:D8),E7*D8))</f>
        <v>1</v>
      </c>
      <c r="F8" s="10">
        <f t="shared" si="0"/>
        <v>0.85480419102972571</v>
      </c>
      <c r="G8" s="10">
        <f>F8*E8</f>
        <v>0.85480419102972571</v>
      </c>
      <c r="I8" s="13">
        <f t="shared" si="1"/>
        <v>5000</v>
      </c>
      <c r="J8" s="11">
        <f>(SUM(G9:$G$79)*$I$1)</f>
        <v>23127.456083376655</v>
      </c>
      <c r="K8" s="11">
        <f t="shared" si="6"/>
        <v>-4274.0209551486259</v>
      </c>
      <c r="L8" s="14">
        <v>10</v>
      </c>
      <c r="M8" s="19" t="s">
        <v>46</v>
      </c>
      <c r="N8" s="17">
        <f>SUM(I12:I19)</f>
        <v>16074.205235235757</v>
      </c>
      <c r="O8" s="18">
        <f>N8/SUM($N$6:$N$9)</f>
        <v>0.31403251559048329</v>
      </c>
      <c r="Q8" s="65">
        <v>4</v>
      </c>
      <c r="R8" s="66">
        <f>Inputs!H11</f>
        <v>1.74E-4</v>
      </c>
    </row>
    <row r="9" spans="1:18" ht="15.75" thickBot="1" x14ac:dyDescent="0.3">
      <c r="A9">
        <f t="shared" si="2"/>
        <v>95</v>
      </c>
      <c r="B9">
        <v>5</v>
      </c>
      <c r="C9" s="12">
        <f t="shared" si="3"/>
        <v>0.18526000000000001</v>
      </c>
      <c r="D9" s="10">
        <f t="shared" si="4"/>
        <v>0.81474000000000002</v>
      </c>
      <c r="E9" s="198">
        <f>IF(B9&lt;=$C$2,1,IF(B9=$C$2+1,PRODUCT($D$5:D9),E8*D9))</f>
        <v>1</v>
      </c>
      <c r="F9" s="10">
        <f t="shared" si="0"/>
        <v>0.82192710675935154</v>
      </c>
      <c r="G9" s="10">
        <f t="shared" si="5"/>
        <v>0.82192710675935154</v>
      </c>
      <c r="I9" s="13">
        <f t="shared" si="1"/>
        <v>5000</v>
      </c>
      <c r="J9" s="11">
        <f>(SUM(G10:$G$79)*$I$1)</f>
        <v>19017.820549579894</v>
      </c>
      <c r="K9" s="11">
        <f t="shared" si="6"/>
        <v>-4109.6355337967616</v>
      </c>
      <c r="L9" s="14">
        <v>30</v>
      </c>
      <c r="M9" s="20" t="s">
        <v>48</v>
      </c>
      <c r="N9" s="21">
        <f>SUM(I20:I70)</f>
        <v>112.23068211191192</v>
      </c>
      <c r="O9" s="22">
        <f>N9/SUM($N$6:$N$9)</f>
        <v>2.1925863776320409E-3</v>
      </c>
      <c r="Q9" s="65">
        <v>5</v>
      </c>
      <c r="R9" s="66">
        <f>Inputs!H12</f>
        <v>1.6799999999999999E-4</v>
      </c>
    </row>
    <row r="10" spans="1:18" x14ac:dyDescent="0.25">
      <c r="A10">
        <f t="shared" si="2"/>
        <v>96</v>
      </c>
      <c r="B10">
        <v>6</v>
      </c>
      <c r="C10" s="12">
        <f t="shared" si="3"/>
        <v>0.197322</v>
      </c>
      <c r="D10" s="10">
        <f t="shared" si="4"/>
        <v>0.802678</v>
      </c>
      <c r="E10" s="198">
        <f>IF(B10&lt;=$C$2,1,IF(B10=$C$2+1,PRODUCT($D$5:D10),E9*D10))</f>
        <v>1</v>
      </c>
      <c r="F10" s="10">
        <f t="shared" si="0"/>
        <v>0.79031452573014571</v>
      </c>
      <c r="G10" s="10">
        <f t="shared" si="5"/>
        <v>0.79031452573014571</v>
      </c>
      <c r="I10" s="13">
        <f t="shared" si="1"/>
        <v>5000</v>
      </c>
      <c r="J10" s="11">
        <f>(SUM(G11:$G$79)*$I$1)</f>
        <v>15066.247920929167</v>
      </c>
      <c r="K10" s="11">
        <f t="shared" si="6"/>
        <v>-3951.572628650727</v>
      </c>
      <c r="L10" s="53">
        <f>+SUMPRODUCT(L6:L9,O6:O9)</f>
        <v>5.7458380827807947</v>
      </c>
      <c r="O10" s="23">
        <f>SUM(O6:O9)</f>
        <v>1</v>
      </c>
      <c r="Q10" s="65">
        <v>6</v>
      </c>
      <c r="R10" s="66">
        <f>Inputs!H13</f>
        <v>1.65E-4</v>
      </c>
    </row>
    <row r="11" spans="1:18" x14ac:dyDescent="0.25">
      <c r="A11">
        <f t="shared" si="2"/>
        <v>97</v>
      </c>
      <c r="B11">
        <v>7</v>
      </c>
      <c r="C11" s="12">
        <f t="shared" si="3"/>
        <v>0.214751</v>
      </c>
      <c r="D11" s="10">
        <f t="shared" si="4"/>
        <v>0.78524899999999997</v>
      </c>
      <c r="E11" s="198">
        <f>IF(B11&lt;=$C$2,1,IF(B11=$C$2+1,PRODUCT($D$5:D11),E10*D11))</f>
        <v>1</v>
      </c>
      <c r="F11" s="10">
        <f t="shared" si="0"/>
        <v>0.75991781320206331</v>
      </c>
      <c r="G11" s="10">
        <f t="shared" si="5"/>
        <v>0.75991781320206331</v>
      </c>
      <c r="I11" s="13">
        <f t="shared" si="1"/>
        <v>5000</v>
      </c>
      <c r="J11" s="11">
        <f>(SUM(G12:$G$79)*$I$1)</f>
        <v>11266.658854918849</v>
      </c>
      <c r="K11" s="11">
        <f t="shared" si="6"/>
        <v>-3799.5890660103178</v>
      </c>
      <c r="Q11" s="65">
        <v>7</v>
      </c>
      <c r="R11" s="66">
        <f>Inputs!H14</f>
        <v>1.5899999999999999E-4</v>
      </c>
    </row>
    <row r="12" spans="1:18" x14ac:dyDescent="0.25">
      <c r="A12">
        <f t="shared" si="2"/>
        <v>98</v>
      </c>
      <c r="B12">
        <v>8</v>
      </c>
      <c r="C12" s="12">
        <f t="shared" si="3"/>
        <v>0.23250699999999999</v>
      </c>
      <c r="D12" s="10">
        <f t="shared" si="4"/>
        <v>0.76749299999999998</v>
      </c>
      <c r="E12" s="198">
        <f>IF(B12&lt;=$C$2,1,IF(B12=$C$2+1,PRODUCT($D$5:D12),E11*D12))</f>
        <v>1</v>
      </c>
      <c r="F12" s="10">
        <f t="shared" si="0"/>
        <v>0.73069020500198378</v>
      </c>
      <c r="G12" s="10">
        <f t="shared" si="5"/>
        <v>0.73069020500198378</v>
      </c>
      <c r="I12" s="13">
        <f t="shared" si="1"/>
        <v>5000</v>
      </c>
      <c r="J12" s="11">
        <f>(SUM(G13:$G$79)*$I$1)</f>
        <v>7613.2078299089271</v>
      </c>
      <c r="K12" s="11">
        <f t="shared" si="6"/>
        <v>-3653.451025009922</v>
      </c>
      <c r="Q12" s="65">
        <v>8</v>
      </c>
      <c r="R12" s="66">
        <f>Inputs!H15</f>
        <v>1.4300000000000001E-4</v>
      </c>
    </row>
    <row r="13" spans="1:18" x14ac:dyDescent="0.25">
      <c r="A13">
        <f t="shared" si="2"/>
        <v>99</v>
      </c>
      <c r="B13">
        <v>9</v>
      </c>
      <c r="C13" s="12">
        <f t="shared" si="3"/>
        <v>0.25039699999999998</v>
      </c>
      <c r="D13" s="10">
        <f t="shared" si="4"/>
        <v>0.74960300000000002</v>
      </c>
      <c r="E13" s="198">
        <f>IF(B13&lt;=$C$2,1,IF(B13=$C$2+1,PRODUCT($D$5:D13),E12*D13))</f>
        <v>1</v>
      </c>
      <c r="F13" s="10">
        <f t="shared" si="0"/>
        <v>0.70258673557883045</v>
      </c>
      <c r="G13" s="10">
        <f t="shared" si="5"/>
        <v>0.70258673557883045</v>
      </c>
      <c r="I13" s="13">
        <f t="shared" si="1"/>
        <v>5000</v>
      </c>
      <c r="J13" s="11">
        <f>(SUM(G14:$G$79)*$I$1)</f>
        <v>4100.2741520147774</v>
      </c>
      <c r="K13" s="11">
        <f t="shared" si="6"/>
        <v>-3512.9336778941497</v>
      </c>
      <c r="Q13" s="65">
        <v>9</v>
      </c>
      <c r="R13" s="66">
        <f>Inputs!H16</f>
        <v>1.2899999999999999E-4</v>
      </c>
    </row>
    <row r="14" spans="1:18" x14ac:dyDescent="0.25">
      <c r="A14">
        <f t="shared" si="2"/>
        <v>100</v>
      </c>
      <c r="B14">
        <v>10</v>
      </c>
      <c r="C14" s="12">
        <f t="shared" si="3"/>
        <v>0.26860699999999998</v>
      </c>
      <c r="D14" s="10">
        <f t="shared" si="4"/>
        <v>0.73139299999999996</v>
      </c>
      <c r="E14" s="198">
        <f>IF(B14&lt;=$C$2,1,IF(B14=$C$2+1,PRODUCT($D$5:D14),E13*D14))</f>
        <v>1</v>
      </c>
      <c r="F14" s="10">
        <f t="shared" si="0"/>
        <v>0.67556416882579851</v>
      </c>
      <c r="G14" s="10">
        <f t="shared" si="5"/>
        <v>0.67556416882579851</v>
      </c>
      <c r="I14" s="13">
        <f t="shared" si="1"/>
        <v>5000</v>
      </c>
      <c r="J14" s="11">
        <f>(SUM(G15:$G$79)*$I$1)</f>
        <v>722.4533078857844</v>
      </c>
      <c r="K14" s="11">
        <f t="shared" si="6"/>
        <v>-3377.820844128993</v>
      </c>
      <c r="Q14" s="65">
        <v>10</v>
      </c>
      <c r="R14" s="66">
        <f>Inputs!H17</f>
        <v>1.13E-4</v>
      </c>
    </row>
    <row r="15" spans="1:18" x14ac:dyDescent="0.25">
      <c r="A15">
        <f t="shared" si="2"/>
        <v>101</v>
      </c>
      <c r="B15">
        <v>11</v>
      </c>
      <c r="C15" s="12">
        <f t="shared" si="3"/>
        <v>0.290016</v>
      </c>
      <c r="D15" s="10">
        <f t="shared" si="4"/>
        <v>0.70998399999999995</v>
      </c>
      <c r="E15" s="198">
        <f>IF(B15&lt;=$C$2,1,IF(B15=$C$2+1,PRODUCT($D$5:D15),E14*D15))</f>
        <v>8.1859692822187496E-2</v>
      </c>
      <c r="F15" s="10">
        <f t="shared" si="0"/>
        <v>0.6495809315632679</v>
      </c>
      <c r="G15" s="10">
        <f t="shared" si="5"/>
        <v>5.3174495520919511E-2</v>
      </c>
      <c r="I15" s="13">
        <f t="shared" si="1"/>
        <v>409.29846411093746</v>
      </c>
      <c r="J15" s="11">
        <f>(SUM(G16:$G$79)*$I$1)</f>
        <v>456.58083028118688</v>
      </c>
      <c r="K15" s="11">
        <f t="shared" si="6"/>
        <v>-265.87247760459752</v>
      </c>
      <c r="Q15" s="65">
        <v>11</v>
      </c>
      <c r="R15" s="66">
        <f>Inputs!H18</f>
        <v>1.11E-4</v>
      </c>
    </row>
    <row r="16" spans="1:18" x14ac:dyDescent="0.25">
      <c r="A16">
        <f t="shared" si="2"/>
        <v>102</v>
      </c>
      <c r="B16">
        <v>12</v>
      </c>
      <c r="C16" s="12">
        <f t="shared" si="3"/>
        <v>0.31184899999999999</v>
      </c>
      <c r="D16" s="10">
        <f t="shared" si="4"/>
        <v>0.68815099999999996</v>
      </c>
      <c r="E16" s="198">
        <f>IF(B16&lt;=$C$2,1,IF(B16=$C$2+1,PRODUCT($D$5:D16),E15*D16))</f>
        <v>5.6331829475281148E-2</v>
      </c>
      <c r="F16" s="10">
        <f t="shared" si="0"/>
        <v>0.62459704958006512</v>
      </c>
      <c r="G16" s="10">
        <f t="shared" si="5"/>
        <v>3.5184694487707953E-2</v>
      </c>
      <c r="I16" s="13">
        <f t="shared" si="1"/>
        <v>281.65914737640571</v>
      </c>
      <c r="J16" s="11">
        <f>(SUM(G17:$G$79)*$I$1)</f>
        <v>280.65735784264712</v>
      </c>
      <c r="K16" s="11">
        <f t="shared" si="6"/>
        <v>-175.92347243853976</v>
      </c>
      <c r="Q16" s="65">
        <v>12</v>
      </c>
      <c r="R16" s="66">
        <f>Inputs!H19</f>
        <v>1.3200000000000001E-4</v>
      </c>
    </row>
    <row r="17" spans="1:18" x14ac:dyDescent="0.25">
      <c r="A17">
        <f t="shared" si="2"/>
        <v>103</v>
      </c>
      <c r="B17">
        <v>13</v>
      </c>
      <c r="C17" s="12">
        <f t="shared" si="3"/>
        <v>0.33396199999999998</v>
      </c>
      <c r="D17" s="10">
        <f t="shared" si="4"/>
        <v>0.66603800000000002</v>
      </c>
      <c r="E17" s="198">
        <f>IF(B17&lt;=$C$2,1,IF(B17=$C$2+1,PRODUCT($D$5:D17),E16*D17))</f>
        <v>3.7519139040057305E-2</v>
      </c>
      <c r="F17" s="10">
        <f t="shared" si="0"/>
        <v>0.600574086134678</v>
      </c>
      <c r="G17" s="10">
        <f t="shared" si="5"/>
        <v>2.2533022641542336E-2</v>
      </c>
      <c r="I17" s="13">
        <f t="shared" si="1"/>
        <v>187.59569520028651</v>
      </c>
      <c r="J17" s="11">
        <f>(SUM(G18:$G$79)*$I$1)</f>
        <v>167.99224463493547</v>
      </c>
      <c r="K17" s="11">
        <f t="shared" si="6"/>
        <v>-112.66511320771164</v>
      </c>
      <c r="Q17" s="65">
        <v>13</v>
      </c>
      <c r="R17" s="66">
        <f>Inputs!H20</f>
        <v>1.6899999999999999E-4</v>
      </c>
    </row>
    <row r="18" spans="1:18" x14ac:dyDescent="0.25">
      <c r="A18">
        <f t="shared" si="2"/>
        <v>104</v>
      </c>
      <c r="B18">
        <v>14</v>
      </c>
      <c r="C18" s="12">
        <f t="shared" si="3"/>
        <v>0.356207</v>
      </c>
      <c r="D18" s="10">
        <f t="shared" si="4"/>
        <v>0.64379300000000006</v>
      </c>
      <c r="E18" s="198">
        <f>IF(B18&lt;=$C$2,1,IF(B18=$C$2+1,PRODUCT($D$5:D18),E17*D18))</f>
        <v>2.4154559080015615E-2</v>
      </c>
      <c r="F18" s="10">
        <f t="shared" si="0"/>
        <v>0.57747508282180582</v>
      </c>
      <c r="G18" s="10">
        <f t="shared" si="5"/>
        <v>1.3948656005256219E-2</v>
      </c>
      <c r="I18" s="13">
        <f t="shared" si="1"/>
        <v>120.77279540007807</v>
      </c>
      <c r="J18" s="11">
        <f>(SUM(G19:$G$79)*$I$1)</f>
        <v>98.24896460865439</v>
      </c>
      <c r="K18" s="11">
        <f t="shared" si="6"/>
        <v>-69.743280026281084</v>
      </c>
      <c r="Q18" s="65">
        <v>14</v>
      </c>
      <c r="R18" s="66">
        <f>Inputs!H21</f>
        <v>2.13E-4</v>
      </c>
    </row>
    <row r="19" spans="1:18" x14ac:dyDescent="0.25">
      <c r="A19">
        <f t="shared" si="2"/>
        <v>105</v>
      </c>
      <c r="B19">
        <v>15</v>
      </c>
      <c r="C19" s="12">
        <f t="shared" si="3"/>
        <v>0.38</v>
      </c>
      <c r="D19" s="10">
        <f t="shared" si="4"/>
        <v>0.62</v>
      </c>
      <c r="E19" s="198">
        <f>IF(B19&lt;=$C$2,1,IF(B19=$C$2+1,PRODUCT($D$5:D19),E18*D19))</f>
        <v>1.4975826629609681E-2</v>
      </c>
      <c r="F19" s="10">
        <f t="shared" si="0"/>
        <v>0.55526450271327477</v>
      </c>
      <c r="G19" s="10">
        <f t="shared" si="5"/>
        <v>8.3155449262104376E-3</v>
      </c>
      <c r="I19" s="13">
        <f t="shared" si="1"/>
        <v>74.87913314804841</v>
      </c>
      <c r="J19" s="11">
        <f>(SUM(G20:$G$79)*$I$1)</f>
        <v>56.67123997760217</v>
      </c>
      <c r="K19" s="11">
        <f t="shared" si="6"/>
        <v>-41.57772463105222</v>
      </c>
      <c r="Q19" s="65">
        <v>15</v>
      </c>
      <c r="R19" s="66">
        <f>Inputs!H22</f>
        <v>2.5399999999999999E-4</v>
      </c>
    </row>
    <row r="20" spans="1:18" x14ac:dyDescent="0.25">
      <c r="A20">
        <f t="shared" si="2"/>
        <v>106</v>
      </c>
      <c r="B20">
        <v>16</v>
      </c>
      <c r="C20" s="12">
        <f t="shared" si="3"/>
        <v>0.4</v>
      </c>
      <c r="D20" s="10">
        <f t="shared" si="4"/>
        <v>0.6</v>
      </c>
      <c r="E20" s="198">
        <f>IF(B20&lt;=$C$2,1,IF(B20=$C$2+1,PRODUCT($D$5:D20),E19*D20))</f>
        <v>8.9854959777658089E-3</v>
      </c>
      <c r="F20" s="10">
        <f t="shared" si="0"/>
        <v>0.53390817568584104</v>
      </c>
      <c r="G20" s="10">
        <f t="shared" si="5"/>
        <v>4.7974297651214052E-3</v>
      </c>
      <c r="I20" s="13">
        <f t="shared" si="1"/>
        <v>44.927479888829048</v>
      </c>
      <c r="J20" s="11">
        <f>(SUM(G21:$G$79)*$I$1)</f>
        <v>32.684091151995155</v>
      </c>
      <c r="K20" s="11">
        <f t="shared" si="6"/>
        <v>-23.987148825607015</v>
      </c>
      <c r="Q20" s="65">
        <v>16</v>
      </c>
      <c r="R20" s="66">
        <f>Inputs!H23</f>
        <v>2.9300000000000002E-4</v>
      </c>
    </row>
    <row r="21" spans="1:18" x14ac:dyDescent="0.25">
      <c r="A21">
        <f t="shared" si="2"/>
        <v>107</v>
      </c>
      <c r="B21">
        <v>17</v>
      </c>
      <c r="C21" s="12">
        <f t="shared" si="3"/>
        <v>0.4</v>
      </c>
      <c r="D21" s="10">
        <f t="shared" si="4"/>
        <v>0.6</v>
      </c>
      <c r="E21" s="198">
        <f>IF(B21&lt;=$C$2,1,IF(B21=$C$2+1,PRODUCT($D$5:D21),E20*D21))</f>
        <v>5.3912975866594855E-3</v>
      </c>
      <c r="F21" s="10">
        <f t="shared" si="0"/>
        <v>0.51337324585177024</v>
      </c>
      <c r="G21" s="10">
        <f t="shared" si="5"/>
        <v>2.7677479414161955E-3</v>
      </c>
      <c r="I21" s="13">
        <f t="shared" si="1"/>
        <v>26.956487933297428</v>
      </c>
      <c r="J21" s="11">
        <f>(SUM(G22:$G$79)*$I$1)</f>
        <v>18.845351444914176</v>
      </c>
      <c r="K21" s="11">
        <f t="shared" si="6"/>
        <v>-13.838739707080979</v>
      </c>
      <c r="Q21" s="65">
        <v>17</v>
      </c>
      <c r="R21" s="66">
        <f>Inputs!H24</f>
        <v>3.28E-4</v>
      </c>
    </row>
    <row r="22" spans="1:18" x14ac:dyDescent="0.25">
      <c r="A22">
        <f t="shared" si="2"/>
        <v>108</v>
      </c>
      <c r="B22">
        <v>18</v>
      </c>
      <c r="C22" s="12">
        <f t="shared" si="3"/>
        <v>0.4</v>
      </c>
      <c r="D22" s="10">
        <f t="shared" si="4"/>
        <v>0.6</v>
      </c>
      <c r="E22" s="198">
        <f>IF(B22&lt;=$C$2,1,IF(B22=$C$2+1,PRODUCT($D$5:D22),E21*D22))</f>
        <v>3.2347785519956911E-3</v>
      </c>
      <c r="F22" s="10">
        <f t="shared" si="0"/>
        <v>0.49362812101131748</v>
      </c>
      <c r="G22" s="10">
        <f t="shared" si="5"/>
        <v>1.5967776585093434E-3</v>
      </c>
      <c r="I22" s="13">
        <f t="shared" si="1"/>
        <v>16.173892759978454</v>
      </c>
      <c r="J22" s="11">
        <f>(SUM(G23:$G$79)*$I$1)</f>
        <v>10.861463152367456</v>
      </c>
      <c r="K22" s="11">
        <f t="shared" si="6"/>
        <v>-7.9838882925467196</v>
      </c>
      <c r="Q22" s="65">
        <v>18</v>
      </c>
      <c r="R22" s="66">
        <f>Inputs!H25</f>
        <v>3.59E-4</v>
      </c>
    </row>
    <row r="23" spans="1:18" x14ac:dyDescent="0.25">
      <c r="A23">
        <f t="shared" si="2"/>
        <v>109</v>
      </c>
      <c r="B23">
        <v>19</v>
      </c>
      <c r="C23" s="12">
        <f t="shared" si="3"/>
        <v>0.4</v>
      </c>
      <c r="D23" s="10">
        <f t="shared" si="4"/>
        <v>0.6</v>
      </c>
      <c r="E23" s="198">
        <f>IF(B23&lt;=$C$2,1,IF(B23=$C$2+1,PRODUCT($D$5:D23),E22*D23))</f>
        <v>1.9408671311974147E-3</v>
      </c>
      <c r="F23" s="10">
        <f t="shared" si="0"/>
        <v>0.47464242404934376</v>
      </c>
      <c r="G23" s="10">
        <f t="shared" si="5"/>
        <v>9.2121787990923662E-4</v>
      </c>
      <c r="I23" s="13">
        <f t="shared" si="1"/>
        <v>9.704335655987073</v>
      </c>
      <c r="J23" s="11">
        <f>(SUM(G24:$G$79)*$I$1)</f>
        <v>6.2553737528212778</v>
      </c>
      <c r="K23" s="11">
        <f t="shared" si="6"/>
        <v>-4.6060893995461782</v>
      </c>
      <c r="Q23" s="65">
        <v>19</v>
      </c>
      <c r="R23" s="66">
        <f>Inputs!H26</f>
        <v>3.8699999999999997E-4</v>
      </c>
    </row>
    <row r="24" spans="1:18" x14ac:dyDescent="0.25">
      <c r="A24">
        <f t="shared" si="2"/>
        <v>110</v>
      </c>
      <c r="B24">
        <v>20</v>
      </c>
      <c r="C24" s="12">
        <f t="shared" si="3"/>
        <v>0.4</v>
      </c>
      <c r="D24" s="10">
        <f t="shared" si="4"/>
        <v>0.6</v>
      </c>
      <c r="E24" s="198">
        <f>IF(B24&lt;=$C$2,1,IF(B24=$C$2+1,PRODUCT($D$5:D24),E23*D24))</f>
        <v>1.1645202787184488E-3</v>
      </c>
      <c r="F24" s="10">
        <f t="shared" si="0"/>
        <v>0.45638694620129205</v>
      </c>
      <c r="G24" s="10">
        <f t="shared" si="5"/>
        <v>5.3147185379379027E-4</v>
      </c>
      <c r="I24" s="13">
        <f t="shared" si="1"/>
        <v>5.8226013935922438</v>
      </c>
      <c r="J24" s="11">
        <f>(SUM(G25:$G$79)*$I$1)</f>
        <v>3.5980144838523258</v>
      </c>
      <c r="K24" s="11">
        <f t="shared" si="6"/>
        <v>-2.657359268968952</v>
      </c>
      <c r="Q24" s="65">
        <v>20</v>
      </c>
      <c r="R24" s="66">
        <f>Inputs!H27</f>
        <v>4.1399999999999998E-4</v>
      </c>
    </row>
    <row r="25" spans="1:18" x14ac:dyDescent="0.25">
      <c r="A25">
        <f t="shared" si="2"/>
        <v>111</v>
      </c>
      <c r="B25">
        <v>21</v>
      </c>
      <c r="C25" s="12">
        <f t="shared" si="3"/>
        <v>0.4</v>
      </c>
      <c r="D25" s="10">
        <f t="shared" si="4"/>
        <v>0.6</v>
      </c>
      <c r="E25" s="198">
        <f>IF(B25&lt;=$C$2,1,IF(B25=$C$2+1,PRODUCT($D$5:D25),E24*D25))</f>
        <v>6.9871216723106926E-4</v>
      </c>
      <c r="F25" s="10">
        <f t="shared" si="0"/>
        <v>0.43883360211662686</v>
      </c>
      <c r="G25" s="10">
        <f t="shared" si="5"/>
        <v>3.0661837718872512E-4</v>
      </c>
      <c r="I25" s="13">
        <f t="shared" si="1"/>
        <v>3.4935608361553463</v>
      </c>
      <c r="J25" s="11">
        <f>(SUM(G26:$G$79)*$I$1)</f>
        <v>2.0649225979087</v>
      </c>
      <c r="K25" s="11">
        <f t="shared" si="6"/>
        <v>-1.5330918859436258</v>
      </c>
      <c r="Q25" s="65">
        <v>21</v>
      </c>
      <c r="R25" s="66">
        <f>Inputs!H28</f>
        <v>4.4299999999999998E-4</v>
      </c>
    </row>
    <row r="26" spans="1:18" x14ac:dyDescent="0.25">
      <c r="A26">
        <f t="shared" si="2"/>
        <v>112</v>
      </c>
      <c r="B26">
        <v>22</v>
      </c>
      <c r="C26" s="12">
        <f t="shared" si="3"/>
        <v>0.4</v>
      </c>
      <c r="D26" s="10">
        <f t="shared" si="4"/>
        <v>0.6</v>
      </c>
      <c r="E26" s="198">
        <f>IF(B26&lt;=$C$2,1,IF(B26=$C$2+1,PRODUCT($D$5:D26),E25*D26))</f>
        <v>4.1922730033864153E-4</v>
      </c>
      <c r="F26" s="10">
        <f t="shared" si="0"/>
        <v>0.42195538665060278</v>
      </c>
      <c r="G26" s="10">
        <f t="shared" si="5"/>
        <v>1.7689521760887986E-4</v>
      </c>
      <c r="I26" s="13">
        <f t="shared" si="1"/>
        <v>2.0961365016932079</v>
      </c>
      <c r="J26" s="11">
        <f>(SUM(G27:$G$79)*$I$1)</f>
        <v>1.1804465098643007</v>
      </c>
      <c r="K26" s="11">
        <f t="shared" si="6"/>
        <v>-0.88447608804439937</v>
      </c>
      <c r="Q26" s="65">
        <v>22</v>
      </c>
      <c r="R26" s="66">
        <f>Inputs!H29</f>
        <v>4.73E-4</v>
      </c>
    </row>
    <row r="27" spans="1:18" x14ac:dyDescent="0.25">
      <c r="A27">
        <f t="shared" si="2"/>
        <v>113</v>
      </c>
      <c r="B27">
        <v>23</v>
      </c>
      <c r="C27" s="12">
        <f t="shared" si="3"/>
        <v>0.4</v>
      </c>
      <c r="D27" s="10">
        <f t="shared" si="4"/>
        <v>0.6</v>
      </c>
      <c r="E27" s="198">
        <f>IF(B27&lt;=$C$2,1,IF(B27=$C$2+1,PRODUCT($D$5:D27),E26*D27))</f>
        <v>2.5153638020318492E-4</v>
      </c>
      <c r="F27" s="10">
        <f t="shared" si="0"/>
        <v>0.40572633331788732</v>
      </c>
      <c r="G27" s="10">
        <f t="shared" si="5"/>
        <v>1.0205493323589223E-4</v>
      </c>
      <c r="I27" s="13">
        <f t="shared" si="1"/>
        <v>1.2576819010159246</v>
      </c>
      <c r="J27" s="11">
        <f>(SUM(G28:$G$79)*$I$1)</f>
        <v>0.67017184368483951</v>
      </c>
      <c r="K27" s="11">
        <f t="shared" si="6"/>
        <v>-0.51027466617946116</v>
      </c>
      <c r="Q27" s="65">
        <v>23</v>
      </c>
      <c r="R27" s="66">
        <f>Inputs!H30</f>
        <v>5.13E-4</v>
      </c>
    </row>
    <row r="28" spans="1:18" x14ac:dyDescent="0.25">
      <c r="A28">
        <f t="shared" si="2"/>
        <v>114</v>
      </c>
      <c r="B28">
        <v>24</v>
      </c>
      <c r="C28" s="12">
        <f t="shared" si="3"/>
        <v>0.4</v>
      </c>
      <c r="D28" s="10">
        <f t="shared" si="4"/>
        <v>0.6</v>
      </c>
      <c r="E28" s="198">
        <f>IF(B28&lt;=$C$2,1,IF(B28=$C$2+1,PRODUCT($D$5:D28),E27*D28))</f>
        <v>1.5092182812191096E-4</v>
      </c>
      <c r="F28" s="10">
        <f t="shared" si="0"/>
        <v>0.39012147434412242</v>
      </c>
      <c r="G28" s="10">
        <f t="shared" si="5"/>
        <v>5.8877846097630142E-5</v>
      </c>
      <c r="I28" s="13">
        <f t="shared" si="1"/>
        <v>0.75460914060955475</v>
      </c>
      <c r="J28" s="11">
        <f>(SUM(G29:$G$79)*$I$1)</f>
        <v>0.37578261319668871</v>
      </c>
      <c r="K28" s="11">
        <f t="shared" si="6"/>
        <v>-0.2943892304881508</v>
      </c>
      <c r="Q28" s="65">
        <v>24</v>
      </c>
      <c r="R28" s="66">
        <f>Inputs!H31</f>
        <v>5.5400000000000002E-4</v>
      </c>
    </row>
    <row r="29" spans="1:18" x14ac:dyDescent="0.25">
      <c r="A29">
        <f t="shared" si="2"/>
        <v>115</v>
      </c>
      <c r="B29">
        <v>25</v>
      </c>
      <c r="C29" s="12">
        <f t="shared" si="3"/>
        <v>0.4</v>
      </c>
      <c r="D29" s="10">
        <f t="shared" si="4"/>
        <v>0.6</v>
      </c>
      <c r="E29" s="198">
        <f>IF(B29&lt;=$C$2,1,IF(B29=$C$2+1,PRODUCT($D$5:D29),E28*D29))</f>
        <v>9.0553096873146574E-5</v>
      </c>
      <c r="F29" s="10">
        <f t="shared" si="0"/>
        <v>0.37511680225396377</v>
      </c>
      <c r="G29" s="10">
        <f t="shared" si="5"/>
        <v>3.3967988133248147E-5</v>
      </c>
      <c r="I29" s="13">
        <f t="shared" si="1"/>
        <v>0.45276548436573288</v>
      </c>
      <c r="J29" s="11">
        <f>(SUM(G30:$G$79)*$I$1)</f>
        <v>0.20594267253044798</v>
      </c>
      <c r="K29" s="11">
        <f t="shared" si="6"/>
        <v>-0.16983994066624072</v>
      </c>
      <c r="Q29" s="65">
        <v>25</v>
      </c>
      <c r="R29" s="66">
        <f>Inputs!H32</f>
        <v>6.02E-4</v>
      </c>
    </row>
    <row r="30" spans="1:18" x14ac:dyDescent="0.25">
      <c r="A30">
        <f t="shared" si="2"/>
        <v>116</v>
      </c>
      <c r="B30">
        <v>26</v>
      </c>
      <c r="C30" s="12">
        <f t="shared" si="3"/>
        <v>0.4</v>
      </c>
      <c r="D30" s="10">
        <f t="shared" si="4"/>
        <v>0.6</v>
      </c>
      <c r="E30" s="198">
        <f>IF(B30&lt;=$C$2,1,IF(B30=$C$2+1,PRODUCT($D$5:D30),E29*D30))</f>
        <v>5.4331858123887946E-5</v>
      </c>
      <c r="F30" s="10">
        <f t="shared" si="0"/>
        <v>0.36068923293650368</v>
      </c>
      <c r="G30" s="10">
        <f t="shared" si="5"/>
        <v>1.9596916230720088E-5</v>
      </c>
      <c r="I30" s="13">
        <f t="shared" si="1"/>
        <v>0.27165929061943972</v>
      </c>
      <c r="J30" s="11">
        <f>(SUM(G31:$G$79)*$I$1)</f>
        <v>0.10795809137684753</v>
      </c>
      <c r="K30" s="11">
        <f t="shared" si="6"/>
        <v>-9.7984581153600453E-2</v>
      </c>
      <c r="Q30" s="65">
        <v>26</v>
      </c>
      <c r="R30" s="66">
        <f>Inputs!H33</f>
        <v>6.5499999999999998E-4</v>
      </c>
    </row>
    <row r="31" spans="1:18" x14ac:dyDescent="0.25">
      <c r="A31">
        <f t="shared" si="2"/>
        <v>117</v>
      </c>
      <c r="B31">
        <v>27</v>
      </c>
      <c r="C31" s="12">
        <f t="shared" si="3"/>
        <v>0.4</v>
      </c>
      <c r="D31" s="10">
        <f t="shared" si="4"/>
        <v>0.6</v>
      </c>
      <c r="E31" s="198">
        <f>IF(B31&lt;=$C$2,1,IF(B31=$C$2+1,PRODUCT($D$5:D31),E30*D31))</f>
        <v>3.2599114874332768E-5</v>
      </c>
      <c r="F31" s="10">
        <f t="shared" si="0"/>
        <v>0.3468165701312535</v>
      </c>
      <c r="G31" s="10">
        <f t="shared" si="5"/>
        <v>1.130591321003082E-5</v>
      </c>
      <c r="I31" s="13">
        <f t="shared" si="1"/>
        <v>0.16299557437166384</v>
      </c>
      <c r="J31" s="11">
        <f>(SUM(G32:$G$79)*$I$1)</f>
        <v>5.1428525326693439E-2</v>
      </c>
      <c r="K31" s="11">
        <f t="shared" si="6"/>
        <v>-5.6529566050154093E-2</v>
      </c>
      <c r="Q31" s="65">
        <v>27</v>
      </c>
      <c r="R31" s="66">
        <f>Inputs!H34</f>
        <v>6.8800000000000003E-4</v>
      </c>
    </row>
    <row r="32" spans="1:18" x14ac:dyDescent="0.25">
      <c r="A32">
        <f t="shared" si="2"/>
        <v>118</v>
      </c>
      <c r="B32">
        <v>28</v>
      </c>
      <c r="C32" s="12">
        <f t="shared" si="3"/>
        <v>0.4</v>
      </c>
      <c r="D32" s="10">
        <f t="shared" si="4"/>
        <v>0.6</v>
      </c>
      <c r="E32" s="198">
        <f>IF(B32&lt;=$C$2,1,IF(B32=$C$2+1,PRODUCT($D$5:D32),E31*D32))</f>
        <v>1.9559468924599661E-5</v>
      </c>
      <c r="F32" s="10">
        <f t="shared" si="0"/>
        <v>0.3334774712800514</v>
      </c>
      <c r="G32" s="10">
        <f t="shared" si="5"/>
        <v>6.522642236556241E-6</v>
      </c>
      <c r="I32" s="13">
        <f t="shared" si="1"/>
        <v>9.77973446229983E-2</v>
      </c>
      <c r="J32" s="11">
        <f>(SUM(G33:$G$79)*$I$1)</f>
        <v>1.8815314143912232E-2</v>
      </c>
      <c r="K32" s="11">
        <f t="shared" si="6"/>
        <v>-3.261321118278121E-2</v>
      </c>
      <c r="Q32" s="65">
        <v>28</v>
      </c>
      <c r="R32" s="66">
        <f>Inputs!H35</f>
        <v>7.1000000000000002E-4</v>
      </c>
    </row>
    <row r="33" spans="1:18" x14ac:dyDescent="0.25">
      <c r="A33">
        <f t="shared" si="2"/>
        <v>119</v>
      </c>
      <c r="B33">
        <v>29</v>
      </c>
      <c r="C33" s="12">
        <f t="shared" si="3"/>
        <v>0.4</v>
      </c>
      <c r="D33" s="10">
        <f t="shared" si="4"/>
        <v>0.6</v>
      </c>
      <c r="E33" s="198">
        <f>IF(B33&lt;=$C$2,1,IF(B33=$C$2+1,PRODUCT($D$5:D33),E32*D33))</f>
        <v>1.1735681354759797E-5</v>
      </c>
      <c r="F33" s="10">
        <f t="shared" si="0"/>
        <v>0.32065141469235708</v>
      </c>
      <c r="G33" s="10">
        <f t="shared" si="5"/>
        <v>3.7630628287824465E-6</v>
      </c>
      <c r="I33" s="13">
        <f t="shared" si="1"/>
        <v>5.8678406773798986E-2</v>
      </c>
      <c r="J33" s="11">
        <f>(SUM(G34:$G$79)*$I$1)</f>
        <v>0</v>
      </c>
      <c r="K33" s="11">
        <f t="shared" si="6"/>
        <v>-1.8815314143912232E-2</v>
      </c>
      <c r="Q33" s="65">
        <v>29</v>
      </c>
      <c r="R33" s="66">
        <f>Inputs!H36</f>
        <v>7.27E-4</v>
      </c>
    </row>
    <row r="34" spans="1:18" x14ac:dyDescent="0.25">
      <c r="A34">
        <f t="shared" si="2"/>
        <v>120</v>
      </c>
      <c r="B34">
        <v>30</v>
      </c>
      <c r="C34" s="12">
        <f t="shared" si="3"/>
        <v>1</v>
      </c>
      <c r="D34" s="10">
        <f t="shared" si="4"/>
        <v>0</v>
      </c>
      <c r="E34" s="198">
        <f>IF(B34&lt;=$C$2,1,IF(B34=$C$2+1,PRODUCT($D$5:D34),E33*D34))</f>
        <v>0</v>
      </c>
      <c r="F34" s="10">
        <f t="shared" si="0"/>
        <v>0</v>
      </c>
      <c r="G34" s="10">
        <f t="shared" si="5"/>
        <v>0</v>
      </c>
      <c r="I34" s="13">
        <f t="shared" si="1"/>
        <v>0</v>
      </c>
      <c r="J34" s="11">
        <f>(SUM(G35:$G$79)*$I$1)</f>
        <v>0</v>
      </c>
      <c r="K34" s="11">
        <f t="shared" si="6"/>
        <v>0</v>
      </c>
      <c r="Q34" s="65">
        <v>30</v>
      </c>
      <c r="R34" s="66">
        <f>Inputs!H37</f>
        <v>7.4100000000000001E-4</v>
      </c>
    </row>
    <row r="35" spans="1:18" x14ac:dyDescent="0.25">
      <c r="C35" s="12"/>
      <c r="D35" s="10"/>
      <c r="E35" s="10"/>
      <c r="F35" s="10"/>
      <c r="G35" s="10"/>
      <c r="I35" s="13"/>
      <c r="J35" s="11"/>
      <c r="K35" s="11"/>
      <c r="Q35" s="65">
        <v>31</v>
      </c>
      <c r="R35" s="66">
        <f>Inputs!H38</f>
        <v>7.5100000000000004E-4</v>
      </c>
    </row>
    <row r="36" spans="1:18" x14ac:dyDescent="0.25">
      <c r="C36" s="12"/>
      <c r="D36" s="10"/>
      <c r="E36" s="10"/>
      <c r="F36" s="10"/>
      <c r="G36" s="10"/>
      <c r="I36" s="13"/>
      <c r="J36" s="11"/>
      <c r="K36" s="11"/>
      <c r="Q36" s="65">
        <v>32</v>
      </c>
      <c r="R36" s="66">
        <f>Inputs!H39</f>
        <v>7.54E-4</v>
      </c>
    </row>
    <row r="37" spans="1:18" x14ac:dyDescent="0.25">
      <c r="C37" s="12"/>
      <c r="D37" s="10"/>
      <c r="E37" s="10"/>
      <c r="F37" s="10"/>
      <c r="G37" s="10"/>
      <c r="I37" s="13"/>
      <c r="J37" s="11"/>
      <c r="K37" s="11"/>
      <c r="Q37" s="65">
        <v>33</v>
      </c>
      <c r="R37" s="66">
        <f>Inputs!H40</f>
        <v>7.5600000000000005E-4</v>
      </c>
    </row>
    <row r="38" spans="1:18" x14ac:dyDescent="0.25">
      <c r="C38" s="12"/>
      <c r="D38" s="10"/>
      <c r="E38" s="10"/>
      <c r="F38" s="10"/>
      <c r="G38" s="10"/>
      <c r="I38" s="13"/>
      <c r="J38" s="11"/>
      <c r="K38" s="11"/>
      <c r="Q38" s="65">
        <v>34</v>
      </c>
      <c r="R38" s="66">
        <f>Inputs!H41</f>
        <v>7.5600000000000005E-4</v>
      </c>
    </row>
    <row r="39" spans="1:18" x14ac:dyDescent="0.25">
      <c r="C39" s="12"/>
      <c r="D39" s="10"/>
      <c r="E39" s="10"/>
      <c r="F39" s="10"/>
      <c r="G39" s="10"/>
      <c r="I39" s="13"/>
      <c r="J39" s="11"/>
      <c r="K39" s="11"/>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c r="E125" s="35"/>
      <c r="F125" s="3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4">
    <cfRule type="cellIs" dxfId="8"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18" workbookViewId="0">
      <selection activeCell="D125" sqref="D125:F132"/>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155</v>
      </c>
      <c r="I1" s="3">
        <v>5000</v>
      </c>
      <c r="J1" s="181" t="s">
        <v>173</v>
      </c>
      <c r="L1" s="1"/>
      <c r="M1" s="4"/>
      <c r="N1" s="4"/>
      <c r="O1" s="4"/>
      <c r="P1" s="4"/>
      <c r="Q1" s="64"/>
      <c r="R1" s="28"/>
    </row>
    <row r="2" spans="1:18" ht="15.75" customHeight="1" thickBot="1" x14ac:dyDescent="0.3">
      <c r="B2" t="s">
        <v>227</v>
      </c>
      <c r="C2">
        <v>15</v>
      </c>
      <c r="F2" s="5">
        <f>'Asset and Liability Durations'!N34</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9">
        <f>+SUMPRODUCT(B5:B59,I5:I59,F5:F59)/SUMPRODUCT(F5:F59,I5:I59)</f>
        <v>7.2823579033164467</v>
      </c>
      <c r="N3" s="10"/>
      <c r="O3" s="10"/>
      <c r="P3" s="10"/>
      <c r="Q3" s="31"/>
      <c r="R3" s="32"/>
    </row>
    <row r="4" spans="1:18" x14ac:dyDescent="0.25">
      <c r="A4">
        <v>90</v>
      </c>
      <c r="B4">
        <v>0</v>
      </c>
      <c r="C4" s="8"/>
      <c r="D4" s="7"/>
      <c r="E4" s="7"/>
      <c r="F4" s="7"/>
      <c r="G4" s="10">
        <v>1</v>
      </c>
      <c r="J4" s="11">
        <f>(SUM(G5:$G$79)*$I$1)</f>
        <v>55648.608400818193</v>
      </c>
      <c r="Q4" s="65">
        <v>0</v>
      </c>
      <c r="R4" s="66">
        <f>Inputs!H7</f>
        <v>1.6050000000000001E-3</v>
      </c>
    </row>
    <row r="5" spans="1:18" ht="15.75" thickBot="1" x14ac:dyDescent="0.3">
      <c r="A5">
        <f>B5+$A$4</f>
        <v>91</v>
      </c>
      <c r="B5">
        <v>1</v>
      </c>
      <c r="C5" s="12">
        <f>VLOOKUP(A5,$Q$4:$R$124,2,FALSE)</f>
        <v>0.12311900000000001</v>
      </c>
      <c r="D5" s="10">
        <f>1-C5</f>
        <v>0.87688100000000002</v>
      </c>
      <c r="E5" s="198">
        <f>IF(B5&lt;=$C$2,1,IF(B5=$C$2+1,PRODUCT($D$5:D5),E4*D5))</f>
        <v>1</v>
      </c>
      <c r="F5" s="10">
        <f t="shared" ref="F5:F34" si="0">IF(D5=0,0,(1+$F$2)^-B5)</f>
        <v>0.96153846153846145</v>
      </c>
      <c r="G5" s="10">
        <f>F5*E5</f>
        <v>0.96153846153846145</v>
      </c>
      <c r="I5" s="13">
        <f t="shared" ref="I5:I34" si="1">E5*$I$1</f>
        <v>5000</v>
      </c>
      <c r="J5" s="11">
        <f>(SUM(G6:$G$79)*$I$1)</f>
        <v>50840.916093125881</v>
      </c>
      <c r="K5" s="11">
        <f>J5-J4</f>
        <v>-4807.6923076923122</v>
      </c>
      <c r="L5" s="14" t="s">
        <v>16</v>
      </c>
      <c r="M5" s="14" t="s">
        <v>17</v>
      </c>
      <c r="N5" s="14" t="s">
        <v>18</v>
      </c>
      <c r="O5" s="14" t="s">
        <v>47</v>
      </c>
      <c r="Q5" s="65">
        <v>1</v>
      </c>
      <c r="R5" s="66">
        <f>Inputs!H8</f>
        <v>4.0099999999999999E-4</v>
      </c>
    </row>
    <row r="6" spans="1:18" x14ac:dyDescent="0.25">
      <c r="A6">
        <f t="shared" ref="A6:A34" si="2">B6+$A$4</f>
        <v>92</v>
      </c>
      <c r="B6">
        <v>2</v>
      </c>
      <c r="C6" s="12">
        <f t="shared" ref="C6:C34" si="3">VLOOKUP(A6,$Q$4:$R$124,2,FALSE)</f>
        <v>0.13716800000000001</v>
      </c>
      <c r="D6" s="10">
        <f t="shared" ref="D6:D34" si="4">1-C6</f>
        <v>0.86283200000000004</v>
      </c>
      <c r="E6" s="198">
        <f>IF(B6&lt;=$C$2,1,IF(B6=$C$2+1,PRODUCT($D$5:D6),E5*D6))</f>
        <v>1</v>
      </c>
      <c r="F6" s="10">
        <f t="shared" si="0"/>
        <v>0.92455621301775137</v>
      </c>
      <c r="G6" s="10">
        <f t="shared" ref="G6:G34" si="5">F6*E6</f>
        <v>0.92455621301775137</v>
      </c>
      <c r="I6" s="13">
        <f t="shared" si="1"/>
        <v>5000</v>
      </c>
      <c r="J6" s="11">
        <f>(SUM(G7:$G$79)*$I$1)</f>
        <v>46218.135028037119</v>
      </c>
      <c r="K6" s="11">
        <f t="shared" ref="K6:K34" si="6">J6-J5</f>
        <v>-4622.7810650887623</v>
      </c>
      <c r="L6" s="14">
        <v>2</v>
      </c>
      <c r="M6" s="54" t="s">
        <v>44</v>
      </c>
      <c r="N6" s="15">
        <f>SUM(I5:I7)</f>
        <v>15000</v>
      </c>
      <c r="O6" s="16">
        <f>N6/SUM($N$6:$N$9)</f>
        <v>0.19970116535990817</v>
      </c>
      <c r="Q6" s="65">
        <v>2</v>
      </c>
      <c r="R6" s="66">
        <f>Inputs!H9</f>
        <v>2.7500000000000002E-4</v>
      </c>
    </row>
    <row r="7" spans="1:18" x14ac:dyDescent="0.25">
      <c r="A7">
        <f t="shared" si="2"/>
        <v>93</v>
      </c>
      <c r="B7">
        <v>3</v>
      </c>
      <c r="C7" s="12">
        <f t="shared" si="3"/>
        <v>0.152171</v>
      </c>
      <c r="D7" s="10">
        <f t="shared" si="4"/>
        <v>0.84782899999999994</v>
      </c>
      <c r="E7" s="198">
        <f>IF(B7&lt;=$C$2,1,IF(B7=$C$2+1,PRODUCT($D$5:D7),E6*D7))</f>
        <v>1</v>
      </c>
      <c r="F7" s="10">
        <f t="shared" si="0"/>
        <v>0.88899635867091487</v>
      </c>
      <c r="G7" s="10">
        <f t="shared" si="5"/>
        <v>0.88899635867091487</v>
      </c>
      <c r="I7" s="13">
        <f t="shared" si="1"/>
        <v>5000</v>
      </c>
      <c r="J7" s="11">
        <f>(SUM(G8:$G$79)*$I$1)</f>
        <v>41773.153234682541</v>
      </c>
      <c r="K7" s="11">
        <f t="shared" si="6"/>
        <v>-4444.9817933545783</v>
      </c>
      <c r="L7" s="14">
        <v>5</v>
      </c>
      <c r="M7" s="19" t="s">
        <v>45</v>
      </c>
      <c r="N7" s="17">
        <f>SUM(I8:I11)</f>
        <v>20000</v>
      </c>
      <c r="O7" s="18">
        <f>N7/SUM($N$6:$N$9)</f>
        <v>0.26626822047987758</v>
      </c>
      <c r="Q7" s="65">
        <v>3</v>
      </c>
      <c r="R7" s="66">
        <f>Inputs!H10</f>
        <v>2.2900000000000001E-4</v>
      </c>
    </row>
    <row r="8" spans="1:18" x14ac:dyDescent="0.25">
      <c r="A8">
        <f t="shared" si="2"/>
        <v>94</v>
      </c>
      <c r="B8">
        <v>4</v>
      </c>
      <c r="C8" s="12">
        <f t="shared" si="3"/>
        <v>0.16819400000000001</v>
      </c>
      <c r="D8" s="10">
        <f t="shared" si="4"/>
        <v>0.83180600000000005</v>
      </c>
      <c r="E8" s="198">
        <f>IF(B8&lt;=$C$2,1,IF(B8=$C$2+1,PRODUCT($D$5:D8),E7*D8))</f>
        <v>1</v>
      </c>
      <c r="F8" s="10">
        <f t="shared" si="0"/>
        <v>0.85480419102972571</v>
      </c>
      <c r="G8" s="10">
        <f>F8*E8</f>
        <v>0.85480419102972571</v>
      </c>
      <c r="I8" s="13">
        <f t="shared" si="1"/>
        <v>5000</v>
      </c>
      <c r="J8" s="11">
        <f>(SUM(G9:$G$79)*$I$1)</f>
        <v>37499.132279533929</v>
      </c>
      <c r="K8" s="11">
        <f t="shared" si="6"/>
        <v>-4274.0209551486114</v>
      </c>
      <c r="L8" s="14">
        <v>10</v>
      </c>
      <c r="M8" s="19" t="s">
        <v>46</v>
      </c>
      <c r="N8" s="17">
        <f>SUM(I12:I19)</f>
        <v>40000</v>
      </c>
      <c r="O8" s="18">
        <f>N8/SUM($N$6:$N$9)</f>
        <v>0.53253644095975516</v>
      </c>
      <c r="Q8" s="65">
        <v>4</v>
      </c>
      <c r="R8" s="66">
        <f>Inputs!H11</f>
        <v>1.74E-4</v>
      </c>
    </row>
    <row r="9" spans="1:18" ht="15.75" thickBot="1" x14ac:dyDescent="0.3">
      <c r="A9">
        <f t="shared" si="2"/>
        <v>95</v>
      </c>
      <c r="B9">
        <v>5</v>
      </c>
      <c r="C9" s="12">
        <f t="shared" si="3"/>
        <v>0.18526000000000001</v>
      </c>
      <c r="D9" s="10">
        <f t="shared" si="4"/>
        <v>0.81474000000000002</v>
      </c>
      <c r="E9" s="198">
        <f>IF(B9&lt;=$C$2,1,IF(B9=$C$2+1,PRODUCT($D$5:D9),E8*D9))</f>
        <v>1</v>
      </c>
      <c r="F9" s="10">
        <f t="shared" si="0"/>
        <v>0.82192710675935154</v>
      </c>
      <c r="G9" s="10">
        <f t="shared" si="5"/>
        <v>0.82192710675935154</v>
      </c>
      <c r="I9" s="13">
        <f t="shared" si="1"/>
        <v>5000</v>
      </c>
      <c r="J9" s="11">
        <f>(SUM(G10:$G$79)*$I$1)</f>
        <v>33389.496745737168</v>
      </c>
      <c r="K9" s="11">
        <f t="shared" si="6"/>
        <v>-4109.6355337967616</v>
      </c>
      <c r="L9" s="14">
        <v>30</v>
      </c>
      <c r="M9" s="20" t="s">
        <v>48</v>
      </c>
      <c r="N9" s="21">
        <f>SUM(I20:I70)</f>
        <v>112.23068211191192</v>
      </c>
      <c r="O9" s="22">
        <f>N9/SUM($N$6:$N$9)</f>
        <v>1.4941732004590807E-3</v>
      </c>
      <c r="Q9" s="65">
        <v>5</v>
      </c>
      <c r="R9" s="66">
        <f>Inputs!H12</f>
        <v>1.6799999999999999E-4</v>
      </c>
    </row>
    <row r="10" spans="1:18" x14ac:dyDescent="0.25">
      <c r="A10">
        <f t="shared" si="2"/>
        <v>96</v>
      </c>
      <c r="B10">
        <v>6</v>
      </c>
      <c r="C10" s="12">
        <f t="shared" si="3"/>
        <v>0.197322</v>
      </c>
      <c r="D10" s="10">
        <f t="shared" si="4"/>
        <v>0.802678</v>
      </c>
      <c r="E10" s="198">
        <f>IF(B10&lt;=$C$2,1,IF(B10=$C$2+1,PRODUCT($D$5:D10),E9*D10))</f>
        <v>1</v>
      </c>
      <c r="F10" s="10">
        <f t="shared" si="0"/>
        <v>0.79031452573014571</v>
      </c>
      <c r="G10" s="10">
        <f t="shared" si="5"/>
        <v>0.79031452573014571</v>
      </c>
      <c r="I10" s="13">
        <f t="shared" si="1"/>
        <v>5000</v>
      </c>
      <c r="J10" s="11">
        <f>(SUM(G11:$G$79)*$I$1)</f>
        <v>29437.924117086444</v>
      </c>
      <c r="K10" s="11">
        <f t="shared" si="6"/>
        <v>-3951.5726286507233</v>
      </c>
      <c r="L10" s="53">
        <f>+SUMPRODUCT(L6:L9,O6:O9)</f>
        <v>7.1009330387305285</v>
      </c>
      <c r="O10" s="23">
        <f>SUM(O6:O9)</f>
        <v>1</v>
      </c>
      <c r="Q10" s="65">
        <v>6</v>
      </c>
      <c r="R10" s="66">
        <f>Inputs!H13</f>
        <v>1.65E-4</v>
      </c>
    </row>
    <row r="11" spans="1:18" x14ac:dyDescent="0.25">
      <c r="A11">
        <f t="shared" si="2"/>
        <v>97</v>
      </c>
      <c r="B11">
        <v>7</v>
      </c>
      <c r="C11" s="12">
        <f t="shared" si="3"/>
        <v>0.214751</v>
      </c>
      <c r="D11" s="10">
        <f t="shared" si="4"/>
        <v>0.78524899999999997</v>
      </c>
      <c r="E11" s="198">
        <f>IF(B11&lt;=$C$2,1,IF(B11=$C$2+1,PRODUCT($D$5:D11),E10*D11))</f>
        <v>1</v>
      </c>
      <c r="F11" s="10">
        <f t="shared" si="0"/>
        <v>0.75991781320206331</v>
      </c>
      <c r="G11" s="10">
        <f t="shared" si="5"/>
        <v>0.75991781320206331</v>
      </c>
      <c r="I11" s="13">
        <f t="shared" si="1"/>
        <v>5000</v>
      </c>
      <c r="J11" s="11">
        <f>(SUM(G12:$G$79)*$I$1)</f>
        <v>25638.335051076123</v>
      </c>
      <c r="K11" s="11">
        <f t="shared" si="6"/>
        <v>-3799.5890660103214</v>
      </c>
      <c r="Q11" s="65">
        <v>7</v>
      </c>
      <c r="R11" s="66">
        <f>Inputs!H14</f>
        <v>1.5899999999999999E-4</v>
      </c>
    </row>
    <row r="12" spans="1:18" x14ac:dyDescent="0.25">
      <c r="A12">
        <f t="shared" si="2"/>
        <v>98</v>
      </c>
      <c r="B12">
        <v>8</v>
      </c>
      <c r="C12" s="12">
        <f t="shared" si="3"/>
        <v>0.23250699999999999</v>
      </c>
      <c r="D12" s="10">
        <f t="shared" si="4"/>
        <v>0.76749299999999998</v>
      </c>
      <c r="E12" s="198">
        <f>IF(B12&lt;=$C$2,1,IF(B12=$C$2+1,PRODUCT($D$5:D12),E11*D12))</f>
        <v>1</v>
      </c>
      <c r="F12" s="10">
        <f t="shared" si="0"/>
        <v>0.73069020500198378</v>
      </c>
      <c r="G12" s="10">
        <f t="shared" si="5"/>
        <v>0.73069020500198378</v>
      </c>
      <c r="I12" s="13">
        <f t="shared" si="1"/>
        <v>5000</v>
      </c>
      <c r="J12" s="11">
        <f>(SUM(G13:$G$79)*$I$1)</f>
        <v>21984.884026066207</v>
      </c>
      <c r="K12" s="11">
        <f t="shared" si="6"/>
        <v>-3653.4510250099156</v>
      </c>
      <c r="Q12" s="65">
        <v>8</v>
      </c>
      <c r="R12" s="66">
        <f>Inputs!H15</f>
        <v>1.4300000000000001E-4</v>
      </c>
    </row>
    <row r="13" spans="1:18" x14ac:dyDescent="0.25">
      <c r="A13">
        <f t="shared" si="2"/>
        <v>99</v>
      </c>
      <c r="B13">
        <v>9</v>
      </c>
      <c r="C13" s="12">
        <f t="shared" si="3"/>
        <v>0.25039699999999998</v>
      </c>
      <c r="D13" s="10">
        <f t="shared" si="4"/>
        <v>0.74960300000000002</v>
      </c>
      <c r="E13" s="198">
        <f>IF(B13&lt;=$C$2,1,IF(B13=$C$2+1,PRODUCT($D$5:D13),E12*D13))</f>
        <v>1</v>
      </c>
      <c r="F13" s="10">
        <f t="shared" si="0"/>
        <v>0.70258673557883045</v>
      </c>
      <c r="G13" s="10">
        <f t="shared" si="5"/>
        <v>0.70258673557883045</v>
      </c>
      <c r="I13" s="13">
        <f t="shared" si="1"/>
        <v>5000</v>
      </c>
      <c r="J13" s="11">
        <f>(SUM(G14:$G$79)*$I$1)</f>
        <v>18471.950348172049</v>
      </c>
      <c r="K13" s="11">
        <f t="shared" si="6"/>
        <v>-3512.9336778941579</v>
      </c>
      <c r="Q13" s="65">
        <v>9</v>
      </c>
      <c r="R13" s="66">
        <f>Inputs!H16</f>
        <v>1.2899999999999999E-4</v>
      </c>
    </row>
    <row r="14" spans="1:18" x14ac:dyDescent="0.25">
      <c r="A14">
        <f t="shared" si="2"/>
        <v>100</v>
      </c>
      <c r="B14">
        <v>10</v>
      </c>
      <c r="C14" s="12">
        <f t="shared" si="3"/>
        <v>0.26860699999999998</v>
      </c>
      <c r="D14" s="10">
        <f t="shared" si="4"/>
        <v>0.73139299999999996</v>
      </c>
      <c r="E14" s="198">
        <f>IF(B14&lt;=$C$2,1,IF(B14=$C$2+1,PRODUCT($D$5:D14),E13*D14))</f>
        <v>1</v>
      </c>
      <c r="F14" s="10">
        <f t="shared" si="0"/>
        <v>0.67556416882579851</v>
      </c>
      <c r="G14" s="10">
        <f t="shared" si="5"/>
        <v>0.67556416882579851</v>
      </c>
      <c r="I14" s="13">
        <f t="shared" si="1"/>
        <v>5000</v>
      </c>
      <c r="J14" s="11">
        <f>(SUM(G15:$G$79)*$I$1)</f>
        <v>15094.12950404306</v>
      </c>
      <c r="K14" s="11">
        <f t="shared" si="6"/>
        <v>-3377.8208441289898</v>
      </c>
      <c r="Q14" s="65">
        <v>10</v>
      </c>
      <c r="R14" s="66">
        <f>Inputs!H17</f>
        <v>1.13E-4</v>
      </c>
    </row>
    <row r="15" spans="1:18" x14ac:dyDescent="0.25">
      <c r="A15">
        <f t="shared" si="2"/>
        <v>101</v>
      </c>
      <c r="B15">
        <v>11</v>
      </c>
      <c r="C15" s="12">
        <f t="shared" si="3"/>
        <v>0.290016</v>
      </c>
      <c r="D15" s="10">
        <f t="shared" si="4"/>
        <v>0.70998399999999995</v>
      </c>
      <c r="E15" s="198">
        <f>IF(B15&lt;=$C$2,1,IF(B15=$C$2+1,PRODUCT($D$5:D15),E14*D15))</f>
        <v>1</v>
      </c>
      <c r="F15" s="10">
        <f t="shared" si="0"/>
        <v>0.6495809315632679</v>
      </c>
      <c r="G15" s="10">
        <f t="shared" si="5"/>
        <v>0.6495809315632679</v>
      </c>
      <c r="I15" s="13">
        <f t="shared" si="1"/>
        <v>5000</v>
      </c>
      <c r="J15" s="11">
        <f>(SUM(G16:$G$79)*$I$1)</f>
        <v>11846.22484622672</v>
      </c>
      <c r="K15" s="11">
        <f t="shared" si="6"/>
        <v>-3247.9046578163397</v>
      </c>
      <c r="Q15" s="65">
        <v>11</v>
      </c>
      <c r="R15" s="66">
        <f>Inputs!H18</f>
        <v>1.11E-4</v>
      </c>
    </row>
    <row r="16" spans="1:18" x14ac:dyDescent="0.25">
      <c r="A16">
        <f t="shared" si="2"/>
        <v>102</v>
      </c>
      <c r="B16">
        <v>12</v>
      </c>
      <c r="C16" s="12">
        <f t="shared" si="3"/>
        <v>0.31184899999999999</v>
      </c>
      <c r="D16" s="10">
        <f t="shared" si="4"/>
        <v>0.68815099999999996</v>
      </c>
      <c r="E16" s="198">
        <f>IF(B16&lt;=$C$2,1,IF(B16=$C$2+1,PRODUCT($D$5:D16),E15*D16))</f>
        <v>1</v>
      </c>
      <c r="F16" s="10">
        <f t="shared" si="0"/>
        <v>0.62459704958006512</v>
      </c>
      <c r="G16" s="10">
        <f t="shared" si="5"/>
        <v>0.62459704958006512</v>
      </c>
      <c r="I16" s="13">
        <f t="shared" si="1"/>
        <v>5000</v>
      </c>
      <c r="J16" s="11">
        <f>(SUM(G17:$G$79)*$I$1)</f>
        <v>8723.2395983263941</v>
      </c>
      <c r="K16" s="11">
        <f t="shared" si="6"/>
        <v>-3122.9852479003257</v>
      </c>
      <c r="Q16" s="65">
        <v>12</v>
      </c>
      <c r="R16" s="66">
        <f>Inputs!H19</f>
        <v>1.3200000000000001E-4</v>
      </c>
    </row>
    <row r="17" spans="1:18" x14ac:dyDescent="0.25">
      <c r="A17">
        <f t="shared" si="2"/>
        <v>103</v>
      </c>
      <c r="B17">
        <v>13</v>
      </c>
      <c r="C17" s="12">
        <f t="shared" si="3"/>
        <v>0.33396199999999998</v>
      </c>
      <c r="D17" s="10">
        <f t="shared" si="4"/>
        <v>0.66603800000000002</v>
      </c>
      <c r="E17" s="198">
        <f>IF(B17&lt;=$C$2,1,IF(B17=$C$2+1,PRODUCT($D$5:D17),E16*D17))</f>
        <v>1</v>
      </c>
      <c r="F17" s="10">
        <f t="shared" si="0"/>
        <v>0.600574086134678</v>
      </c>
      <c r="G17" s="10">
        <f t="shared" si="5"/>
        <v>0.600574086134678</v>
      </c>
      <c r="I17" s="13">
        <f t="shared" si="1"/>
        <v>5000</v>
      </c>
      <c r="J17" s="11">
        <f>(SUM(G18:$G$79)*$I$1)</f>
        <v>5720.3691676530034</v>
      </c>
      <c r="K17" s="11">
        <f t="shared" si="6"/>
        <v>-3002.8704306733907</v>
      </c>
      <c r="Q17" s="65">
        <v>13</v>
      </c>
      <c r="R17" s="66">
        <f>Inputs!H20</f>
        <v>1.6899999999999999E-4</v>
      </c>
    </row>
    <row r="18" spans="1:18" x14ac:dyDescent="0.25">
      <c r="A18">
        <f t="shared" si="2"/>
        <v>104</v>
      </c>
      <c r="B18">
        <v>14</v>
      </c>
      <c r="C18" s="12">
        <f t="shared" si="3"/>
        <v>0.356207</v>
      </c>
      <c r="D18" s="10">
        <f t="shared" si="4"/>
        <v>0.64379300000000006</v>
      </c>
      <c r="E18" s="198">
        <f>IF(B18&lt;=$C$2,1,IF(B18=$C$2+1,PRODUCT($D$5:D18),E17*D18))</f>
        <v>1</v>
      </c>
      <c r="F18" s="10">
        <f t="shared" si="0"/>
        <v>0.57747508282180582</v>
      </c>
      <c r="G18" s="10">
        <f t="shared" si="5"/>
        <v>0.57747508282180582</v>
      </c>
      <c r="I18" s="13">
        <f t="shared" si="1"/>
        <v>5000</v>
      </c>
      <c r="J18" s="11">
        <f>(SUM(G19:$G$79)*$I$1)</f>
        <v>2832.9937535439763</v>
      </c>
      <c r="K18" s="11">
        <f t="shared" si="6"/>
        <v>-2887.3754141090271</v>
      </c>
      <c r="Q18" s="65">
        <v>14</v>
      </c>
      <c r="R18" s="66">
        <f>Inputs!H21</f>
        <v>2.13E-4</v>
      </c>
    </row>
    <row r="19" spans="1:18" x14ac:dyDescent="0.25">
      <c r="A19">
        <f t="shared" si="2"/>
        <v>105</v>
      </c>
      <c r="B19">
        <v>15</v>
      </c>
      <c r="C19" s="12">
        <f t="shared" si="3"/>
        <v>0.38</v>
      </c>
      <c r="D19" s="10">
        <f t="shared" si="4"/>
        <v>0.62</v>
      </c>
      <c r="E19" s="198">
        <f>IF(B19&lt;=$C$2,1,IF(B19=$C$2+1,PRODUCT($D$5:D19),E18*D19))</f>
        <v>1</v>
      </c>
      <c r="F19" s="10">
        <f t="shared" si="0"/>
        <v>0.55526450271327477</v>
      </c>
      <c r="G19" s="10">
        <f t="shared" si="5"/>
        <v>0.55526450271327477</v>
      </c>
      <c r="I19" s="13">
        <f t="shared" si="1"/>
        <v>5000</v>
      </c>
      <c r="J19" s="11">
        <f>(SUM(G20:$G$79)*$I$1)</f>
        <v>56.67123997760217</v>
      </c>
      <c r="K19" s="11">
        <f t="shared" si="6"/>
        <v>-2776.3225135663743</v>
      </c>
      <c r="Q19" s="65">
        <v>15</v>
      </c>
      <c r="R19" s="66">
        <f>Inputs!H22</f>
        <v>2.5399999999999999E-4</v>
      </c>
    </row>
    <row r="20" spans="1:18" x14ac:dyDescent="0.25">
      <c r="A20">
        <f t="shared" si="2"/>
        <v>106</v>
      </c>
      <c r="B20">
        <v>16</v>
      </c>
      <c r="C20" s="12">
        <f t="shared" si="3"/>
        <v>0.4</v>
      </c>
      <c r="D20" s="10">
        <f t="shared" si="4"/>
        <v>0.6</v>
      </c>
      <c r="E20" s="198">
        <f>IF(B20&lt;=$C$2,1,IF(B20=$C$2+1,PRODUCT($D$5:D20),E19*D20))</f>
        <v>8.9854959777658089E-3</v>
      </c>
      <c r="F20" s="10">
        <f t="shared" si="0"/>
        <v>0.53390817568584104</v>
      </c>
      <c r="G20" s="10">
        <f t="shared" si="5"/>
        <v>4.7974297651214052E-3</v>
      </c>
      <c r="I20" s="13">
        <f t="shared" si="1"/>
        <v>44.927479888829048</v>
      </c>
      <c r="J20" s="11">
        <f>(SUM(G21:$G$79)*$I$1)</f>
        <v>32.684091151995155</v>
      </c>
      <c r="K20" s="11">
        <f t="shared" si="6"/>
        <v>-23.987148825607015</v>
      </c>
      <c r="Q20" s="65">
        <v>16</v>
      </c>
      <c r="R20" s="66">
        <f>Inputs!H23</f>
        <v>2.9300000000000002E-4</v>
      </c>
    </row>
    <row r="21" spans="1:18" x14ac:dyDescent="0.25">
      <c r="A21">
        <f t="shared" si="2"/>
        <v>107</v>
      </c>
      <c r="B21">
        <v>17</v>
      </c>
      <c r="C21" s="12">
        <f t="shared" si="3"/>
        <v>0.4</v>
      </c>
      <c r="D21" s="10">
        <f t="shared" si="4"/>
        <v>0.6</v>
      </c>
      <c r="E21" s="198">
        <f>IF(B21&lt;=$C$2,1,IF(B21=$C$2+1,PRODUCT($D$5:D21),E20*D21))</f>
        <v>5.3912975866594855E-3</v>
      </c>
      <c r="F21" s="10">
        <f t="shared" si="0"/>
        <v>0.51337324585177024</v>
      </c>
      <c r="G21" s="10">
        <f t="shared" si="5"/>
        <v>2.7677479414161955E-3</v>
      </c>
      <c r="I21" s="13">
        <f t="shared" si="1"/>
        <v>26.956487933297428</v>
      </c>
      <c r="J21" s="11">
        <f>(SUM(G22:$G$79)*$I$1)</f>
        <v>18.845351444914176</v>
      </c>
      <c r="K21" s="11">
        <f t="shared" si="6"/>
        <v>-13.838739707080979</v>
      </c>
      <c r="Q21" s="65">
        <v>17</v>
      </c>
      <c r="R21" s="66">
        <f>Inputs!H24</f>
        <v>3.28E-4</v>
      </c>
    </row>
    <row r="22" spans="1:18" x14ac:dyDescent="0.25">
      <c r="A22">
        <f t="shared" si="2"/>
        <v>108</v>
      </c>
      <c r="B22">
        <v>18</v>
      </c>
      <c r="C22" s="12">
        <f t="shared" si="3"/>
        <v>0.4</v>
      </c>
      <c r="D22" s="10">
        <f t="shared" si="4"/>
        <v>0.6</v>
      </c>
      <c r="E22" s="198">
        <f>IF(B22&lt;=$C$2,1,IF(B22=$C$2+1,PRODUCT($D$5:D22),E21*D22))</f>
        <v>3.2347785519956911E-3</v>
      </c>
      <c r="F22" s="10">
        <f t="shared" si="0"/>
        <v>0.49362812101131748</v>
      </c>
      <c r="G22" s="10">
        <f t="shared" si="5"/>
        <v>1.5967776585093434E-3</v>
      </c>
      <c r="I22" s="13">
        <f t="shared" si="1"/>
        <v>16.173892759978454</v>
      </c>
      <c r="J22" s="11">
        <f>(SUM(G23:$G$79)*$I$1)</f>
        <v>10.861463152367456</v>
      </c>
      <c r="K22" s="11">
        <f t="shared" si="6"/>
        <v>-7.9838882925467196</v>
      </c>
      <c r="Q22" s="65">
        <v>18</v>
      </c>
      <c r="R22" s="66">
        <f>Inputs!H25</f>
        <v>3.59E-4</v>
      </c>
    </row>
    <row r="23" spans="1:18" x14ac:dyDescent="0.25">
      <c r="A23">
        <f t="shared" si="2"/>
        <v>109</v>
      </c>
      <c r="B23">
        <v>19</v>
      </c>
      <c r="C23" s="12">
        <f t="shared" si="3"/>
        <v>0.4</v>
      </c>
      <c r="D23" s="10">
        <f t="shared" si="4"/>
        <v>0.6</v>
      </c>
      <c r="E23" s="198">
        <f>IF(B23&lt;=$C$2,1,IF(B23=$C$2+1,PRODUCT($D$5:D23),E22*D23))</f>
        <v>1.9408671311974147E-3</v>
      </c>
      <c r="F23" s="10">
        <f t="shared" si="0"/>
        <v>0.47464242404934376</v>
      </c>
      <c r="G23" s="10">
        <f t="shared" si="5"/>
        <v>9.2121787990923662E-4</v>
      </c>
      <c r="I23" s="13">
        <f t="shared" si="1"/>
        <v>9.704335655987073</v>
      </c>
      <c r="J23" s="11">
        <f>(SUM(G24:$G$79)*$I$1)</f>
        <v>6.2553737528212778</v>
      </c>
      <c r="K23" s="11">
        <f t="shared" si="6"/>
        <v>-4.6060893995461782</v>
      </c>
      <c r="Q23" s="65">
        <v>19</v>
      </c>
      <c r="R23" s="66">
        <f>Inputs!H26</f>
        <v>3.8699999999999997E-4</v>
      </c>
    </row>
    <row r="24" spans="1:18" x14ac:dyDescent="0.25">
      <c r="A24">
        <f t="shared" si="2"/>
        <v>110</v>
      </c>
      <c r="B24">
        <v>20</v>
      </c>
      <c r="C24" s="12">
        <f t="shared" si="3"/>
        <v>0.4</v>
      </c>
      <c r="D24" s="10">
        <f t="shared" si="4"/>
        <v>0.6</v>
      </c>
      <c r="E24" s="198">
        <f>IF(B24&lt;=$C$2,1,IF(B24=$C$2+1,PRODUCT($D$5:D24),E23*D24))</f>
        <v>1.1645202787184488E-3</v>
      </c>
      <c r="F24" s="10">
        <f t="shared" si="0"/>
        <v>0.45638694620129205</v>
      </c>
      <c r="G24" s="10">
        <f t="shared" si="5"/>
        <v>5.3147185379379027E-4</v>
      </c>
      <c r="I24" s="13">
        <f t="shared" si="1"/>
        <v>5.8226013935922438</v>
      </c>
      <c r="J24" s="11">
        <f>(SUM(G25:$G$79)*$I$1)</f>
        <v>3.5980144838523258</v>
      </c>
      <c r="K24" s="11">
        <f t="shared" si="6"/>
        <v>-2.657359268968952</v>
      </c>
      <c r="Q24" s="65">
        <v>20</v>
      </c>
      <c r="R24" s="66">
        <f>Inputs!H27</f>
        <v>4.1399999999999998E-4</v>
      </c>
    </row>
    <row r="25" spans="1:18" x14ac:dyDescent="0.25">
      <c r="A25">
        <f t="shared" si="2"/>
        <v>111</v>
      </c>
      <c r="B25">
        <v>21</v>
      </c>
      <c r="C25" s="12">
        <f t="shared" si="3"/>
        <v>0.4</v>
      </c>
      <c r="D25" s="10">
        <f t="shared" si="4"/>
        <v>0.6</v>
      </c>
      <c r="E25" s="198">
        <f>IF(B25&lt;=$C$2,1,IF(B25=$C$2+1,PRODUCT($D$5:D25),E24*D25))</f>
        <v>6.9871216723106926E-4</v>
      </c>
      <c r="F25" s="10">
        <f t="shared" si="0"/>
        <v>0.43883360211662686</v>
      </c>
      <c r="G25" s="10">
        <f t="shared" si="5"/>
        <v>3.0661837718872512E-4</v>
      </c>
      <c r="I25" s="13">
        <f t="shared" si="1"/>
        <v>3.4935608361553463</v>
      </c>
      <c r="J25" s="11">
        <f>(SUM(G26:$G$79)*$I$1)</f>
        <v>2.0649225979087</v>
      </c>
      <c r="K25" s="11">
        <f t="shared" si="6"/>
        <v>-1.5330918859436258</v>
      </c>
      <c r="Q25" s="65">
        <v>21</v>
      </c>
      <c r="R25" s="66">
        <f>Inputs!H28</f>
        <v>4.4299999999999998E-4</v>
      </c>
    </row>
    <row r="26" spans="1:18" x14ac:dyDescent="0.25">
      <c r="A26">
        <f t="shared" si="2"/>
        <v>112</v>
      </c>
      <c r="B26">
        <v>22</v>
      </c>
      <c r="C26" s="12">
        <f t="shared" si="3"/>
        <v>0.4</v>
      </c>
      <c r="D26" s="10">
        <f t="shared" si="4"/>
        <v>0.6</v>
      </c>
      <c r="E26" s="198">
        <f>IF(B26&lt;=$C$2,1,IF(B26=$C$2+1,PRODUCT($D$5:D26),E25*D26))</f>
        <v>4.1922730033864153E-4</v>
      </c>
      <c r="F26" s="10">
        <f t="shared" si="0"/>
        <v>0.42195538665060278</v>
      </c>
      <c r="G26" s="10">
        <f t="shared" si="5"/>
        <v>1.7689521760887986E-4</v>
      </c>
      <c r="I26" s="13">
        <f t="shared" si="1"/>
        <v>2.0961365016932079</v>
      </c>
      <c r="J26" s="11">
        <f>(SUM(G27:$G$79)*$I$1)</f>
        <v>1.1804465098643007</v>
      </c>
      <c r="K26" s="11">
        <f t="shared" si="6"/>
        <v>-0.88447608804439937</v>
      </c>
      <c r="Q26" s="65">
        <v>22</v>
      </c>
      <c r="R26" s="66">
        <f>Inputs!H29</f>
        <v>4.73E-4</v>
      </c>
    </row>
    <row r="27" spans="1:18" x14ac:dyDescent="0.25">
      <c r="A27">
        <f t="shared" si="2"/>
        <v>113</v>
      </c>
      <c r="B27">
        <v>23</v>
      </c>
      <c r="C27" s="12">
        <f t="shared" si="3"/>
        <v>0.4</v>
      </c>
      <c r="D27" s="10">
        <f t="shared" si="4"/>
        <v>0.6</v>
      </c>
      <c r="E27" s="198">
        <f>IF(B27&lt;=$C$2,1,IF(B27=$C$2+1,PRODUCT($D$5:D27),E26*D27))</f>
        <v>2.5153638020318492E-4</v>
      </c>
      <c r="F27" s="10">
        <f t="shared" si="0"/>
        <v>0.40572633331788732</v>
      </c>
      <c r="G27" s="10">
        <f t="shared" si="5"/>
        <v>1.0205493323589223E-4</v>
      </c>
      <c r="I27" s="13">
        <f t="shared" si="1"/>
        <v>1.2576819010159246</v>
      </c>
      <c r="J27" s="11">
        <f>(SUM(G28:$G$79)*$I$1)</f>
        <v>0.67017184368483951</v>
      </c>
      <c r="K27" s="11">
        <f t="shared" si="6"/>
        <v>-0.51027466617946116</v>
      </c>
      <c r="Q27" s="65">
        <v>23</v>
      </c>
      <c r="R27" s="66">
        <f>Inputs!H30</f>
        <v>5.13E-4</v>
      </c>
    </row>
    <row r="28" spans="1:18" x14ac:dyDescent="0.25">
      <c r="A28">
        <f t="shared" si="2"/>
        <v>114</v>
      </c>
      <c r="B28">
        <v>24</v>
      </c>
      <c r="C28" s="12">
        <f t="shared" si="3"/>
        <v>0.4</v>
      </c>
      <c r="D28" s="10">
        <f t="shared" si="4"/>
        <v>0.6</v>
      </c>
      <c r="E28" s="198">
        <f>IF(B28&lt;=$C$2,1,IF(B28=$C$2+1,PRODUCT($D$5:D28),E27*D28))</f>
        <v>1.5092182812191096E-4</v>
      </c>
      <c r="F28" s="10">
        <f t="shared" si="0"/>
        <v>0.39012147434412242</v>
      </c>
      <c r="G28" s="10">
        <f t="shared" si="5"/>
        <v>5.8877846097630142E-5</v>
      </c>
      <c r="I28" s="13">
        <f t="shared" si="1"/>
        <v>0.75460914060955475</v>
      </c>
      <c r="J28" s="11">
        <f>(SUM(G29:$G$79)*$I$1)</f>
        <v>0.37578261319668871</v>
      </c>
      <c r="K28" s="11">
        <f t="shared" si="6"/>
        <v>-0.2943892304881508</v>
      </c>
      <c r="Q28" s="65">
        <v>24</v>
      </c>
      <c r="R28" s="66">
        <f>Inputs!H31</f>
        <v>5.5400000000000002E-4</v>
      </c>
    </row>
    <row r="29" spans="1:18" x14ac:dyDescent="0.25">
      <c r="A29">
        <f t="shared" si="2"/>
        <v>115</v>
      </c>
      <c r="B29">
        <v>25</v>
      </c>
      <c r="C29" s="12">
        <f t="shared" si="3"/>
        <v>0.4</v>
      </c>
      <c r="D29" s="10">
        <f t="shared" si="4"/>
        <v>0.6</v>
      </c>
      <c r="E29" s="198">
        <f>IF(B29&lt;=$C$2,1,IF(B29=$C$2+1,PRODUCT($D$5:D29),E28*D29))</f>
        <v>9.0553096873146574E-5</v>
      </c>
      <c r="F29" s="10">
        <f t="shared" si="0"/>
        <v>0.37511680225396377</v>
      </c>
      <c r="G29" s="10">
        <f t="shared" si="5"/>
        <v>3.3967988133248147E-5</v>
      </c>
      <c r="I29" s="13">
        <f t="shared" si="1"/>
        <v>0.45276548436573288</v>
      </c>
      <c r="J29" s="11">
        <f>(SUM(G30:$G$79)*$I$1)</f>
        <v>0.20594267253044798</v>
      </c>
      <c r="K29" s="11">
        <f t="shared" si="6"/>
        <v>-0.16983994066624072</v>
      </c>
      <c r="Q29" s="65">
        <v>25</v>
      </c>
      <c r="R29" s="66">
        <f>Inputs!H32</f>
        <v>6.02E-4</v>
      </c>
    </row>
    <row r="30" spans="1:18" x14ac:dyDescent="0.25">
      <c r="A30">
        <f t="shared" si="2"/>
        <v>116</v>
      </c>
      <c r="B30">
        <v>26</v>
      </c>
      <c r="C30" s="12">
        <f t="shared" si="3"/>
        <v>0.4</v>
      </c>
      <c r="D30" s="10">
        <f t="shared" si="4"/>
        <v>0.6</v>
      </c>
      <c r="E30" s="198">
        <f>IF(B30&lt;=$C$2,1,IF(B30=$C$2+1,PRODUCT($D$5:D30),E29*D30))</f>
        <v>5.4331858123887946E-5</v>
      </c>
      <c r="F30" s="10">
        <f t="shared" si="0"/>
        <v>0.36068923293650368</v>
      </c>
      <c r="G30" s="10">
        <f t="shared" si="5"/>
        <v>1.9596916230720088E-5</v>
      </c>
      <c r="I30" s="13">
        <f t="shared" si="1"/>
        <v>0.27165929061943972</v>
      </c>
      <c r="J30" s="11">
        <f>(SUM(G31:$G$79)*$I$1)</f>
        <v>0.10795809137684753</v>
      </c>
      <c r="K30" s="11">
        <f t="shared" si="6"/>
        <v>-9.7984581153600453E-2</v>
      </c>
      <c r="Q30" s="65">
        <v>26</v>
      </c>
      <c r="R30" s="66">
        <f>Inputs!H33</f>
        <v>6.5499999999999998E-4</v>
      </c>
    </row>
    <row r="31" spans="1:18" x14ac:dyDescent="0.25">
      <c r="A31">
        <f t="shared" si="2"/>
        <v>117</v>
      </c>
      <c r="B31">
        <v>27</v>
      </c>
      <c r="C31" s="12">
        <f t="shared" si="3"/>
        <v>0.4</v>
      </c>
      <c r="D31" s="10">
        <f t="shared" si="4"/>
        <v>0.6</v>
      </c>
      <c r="E31" s="198">
        <f>IF(B31&lt;=$C$2,1,IF(B31=$C$2+1,PRODUCT($D$5:D31),E30*D31))</f>
        <v>3.2599114874332768E-5</v>
      </c>
      <c r="F31" s="10">
        <f t="shared" si="0"/>
        <v>0.3468165701312535</v>
      </c>
      <c r="G31" s="10">
        <f t="shared" si="5"/>
        <v>1.130591321003082E-5</v>
      </c>
      <c r="I31" s="13">
        <f t="shared" si="1"/>
        <v>0.16299557437166384</v>
      </c>
      <c r="J31" s="11">
        <f>(SUM(G32:$G$79)*$I$1)</f>
        <v>5.1428525326693439E-2</v>
      </c>
      <c r="K31" s="11">
        <f t="shared" si="6"/>
        <v>-5.6529566050154093E-2</v>
      </c>
      <c r="Q31" s="65">
        <v>27</v>
      </c>
      <c r="R31" s="66">
        <f>Inputs!H34</f>
        <v>6.8800000000000003E-4</v>
      </c>
    </row>
    <row r="32" spans="1:18" x14ac:dyDescent="0.25">
      <c r="A32">
        <f t="shared" si="2"/>
        <v>118</v>
      </c>
      <c r="B32">
        <v>28</v>
      </c>
      <c r="C32" s="12">
        <f t="shared" si="3"/>
        <v>0.4</v>
      </c>
      <c r="D32" s="10">
        <f t="shared" si="4"/>
        <v>0.6</v>
      </c>
      <c r="E32" s="198">
        <f>IF(B32&lt;=$C$2,1,IF(B32=$C$2+1,PRODUCT($D$5:D32),E31*D32))</f>
        <v>1.9559468924599661E-5</v>
      </c>
      <c r="F32" s="10">
        <f t="shared" si="0"/>
        <v>0.3334774712800514</v>
      </c>
      <c r="G32" s="10">
        <f t="shared" si="5"/>
        <v>6.522642236556241E-6</v>
      </c>
      <c r="I32" s="13">
        <f t="shared" si="1"/>
        <v>9.77973446229983E-2</v>
      </c>
      <c r="J32" s="11">
        <f>(SUM(G33:$G$79)*$I$1)</f>
        <v>1.8815314143912232E-2</v>
      </c>
      <c r="K32" s="11">
        <f t="shared" si="6"/>
        <v>-3.261321118278121E-2</v>
      </c>
      <c r="Q32" s="65">
        <v>28</v>
      </c>
      <c r="R32" s="66">
        <f>Inputs!H35</f>
        <v>7.1000000000000002E-4</v>
      </c>
    </row>
    <row r="33" spans="1:18" x14ac:dyDescent="0.25">
      <c r="A33">
        <f t="shared" si="2"/>
        <v>119</v>
      </c>
      <c r="B33">
        <v>29</v>
      </c>
      <c r="C33" s="12">
        <f t="shared" si="3"/>
        <v>0.4</v>
      </c>
      <c r="D33" s="10">
        <f t="shared" si="4"/>
        <v>0.6</v>
      </c>
      <c r="E33" s="198">
        <f>IF(B33&lt;=$C$2,1,IF(B33=$C$2+1,PRODUCT($D$5:D33),E32*D33))</f>
        <v>1.1735681354759797E-5</v>
      </c>
      <c r="F33" s="10">
        <f t="shared" si="0"/>
        <v>0.32065141469235708</v>
      </c>
      <c r="G33" s="10">
        <f t="shared" si="5"/>
        <v>3.7630628287824465E-6</v>
      </c>
      <c r="I33" s="13">
        <f t="shared" si="1"/>
        <v>5.8678406773798986E-2</v>
      </c>
      <c r="J33" s="11">
        <f>(SUM(G34:$G$79)*$I$1)</f>
        <v>0</v>
      </c>
      <c r="K33" s="11">
        <f t="shared" si="6"/>
        <v>-1.8815314143912232E-2</v>
      </c>
      <c r="Q33" s="65">
        <v>29</v>
      </c>
      <c r="R33" s="66">
        <f>Inputs!H36</f>
        <v>7.27E-4</v>
      </c>
    </row>
    <row r="34" spans="1:18" x14ac:dyDescent="0.25">
      <c r="A34">
        <f t="shared" si="2"/>
        <v>120</v>
      </c>
      <c r="B34">
        <v>30</v>
      </c>
      <c r="C34" s="12">
        <f t="shared" si="3"/>
        <v>1</v>
      </c>
      <c r="D34" s="10">
        <f t="shared" si="4"/>
        <v>0</v>
      </c>
      <c r="E34" s="198">
        <f>IF(B34&lt;=$C$2,1,IF(B34=$C$2+1,PRODUCT($D$5:D34),E33*D34))</f>
        <v>0</v>
      </c>
      <c r="F34" s="10">
        <f t="shared" si="0"/>
        <v>0</v>
      </c>
      <c r="G34" s="10">
        <f t="shared" si="5"/>
        <v>0</v>
      </c>
      <c r="I34" s="13">
        <f t="shared" si="1"/>
        <v>0</v>
      </c>
      <c r="J34" s="11">
        <f>(SUM(G35:$G$79)*$I$1)</f>
        <v>0</v>
      </c>
      <c r="K34" s="11">
        <f t="shared" si="6"/>
        <v>0</v>
      </c>
      <c r="Q34" s="65">
        <v>30</v>
      </c>
      <c r="R34" s="66">
        <f>Inputs!H37</f>
        <v>7.4100000000000001E-4</v>
      </c>
    </row>
    <row r="35" spans="1:18" x14ac:dyDescent="0.25">
      <c r="C35" s="12"/>
      <c r="D35" s="10"/>
      <c r="E35" s="10"/>
      <c r="F35" s="10"/>
      <c r="G35" s="10"/>
      <c r="I35" s="13"/>
      <c r="J35" s="11"/>
      <c r="K35" s="11"/>
      <c r="Q35" s="65">
        <v>31</v>
      </c>
      <c r="R35" s="66">
        <f>Inputs!H38</f>
        <v>7.5100000000000004E-4</v>
      </c>
    </row>
    <row r="36" spans="1:18" x14ac:dyDescent="0.25">
      <c r="C36" s="12"/>
      <c r="D36" s="10"/>
      <c r="E36" s="10"/>
      <c r="F36" s="10"/>
      <c r="G36" s="10"/>
      <c r="I36" s="13"/>
      <c r="J36" s="11"/>
      <c r="K36" s="11"/>
      <c r="Q36" s="65">
        <v>32</v>
      </c>
      <c r="R36" s="66">
        <f>Inputs!H39</f>
        <v>7.54E-4</v>
      </c>
    </row>
    <row r="37" spans="1:18" x14ac:dyDescent="0.25">
      <c r="C37" s="12"/>
      <c r="D37" s="10"/>
      <c r="E37" s="10"/>
      <c r="F37" s="10"/>
      <c r="G37" s="10"/>
      <c r="I37" s="13"/>
      <c r="J37" s="11"/>
      <c r="K37" s="11"/>
      <c r="Q37" s="65">
        <v>33</v>
      </c>
      <c r="R37" s="66">
        <f>Inputs!H40</f>
        <v>7.5600000000000005E-4</v>
      </c>
    </row>
    <row r="38" spans="1:18" x14ac:dyDescent="0.25">
      <c r="C38" s="12"/>
      <c r="D38" s="10"/>
      <c r="E38" s="10"/>
      <c r="F38" s="10"/>
      <c r="G38" s="10"/>
      <c r="I38" s="13"/>
      <c r="J38" s="11"/>
      <c r="K38" s="11"/>
      <c r="Q38" s="65">
        <v>34</v>
      </c>
      <c r="R38" s="66">
        <f>Inputs!H41</f>
        <v>7.5600000000000005E-4</v>
      </c>
    </row>
    <row r="39" spans="1:18" x14ac:dyDescent="0.25">
      <c r="C39" s="12"/>
      <c r="D39" s="10"/>
      <c r="E39" s="10"/>
      <c r="F39" s="10"/>
      <c r="G39" s="10"/>
      <c r="I39" s="13"/>
      <c r="J39" s="11"/>
      <c r="K39" s="11"/>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c r="E125" s="35"/>
      <c r="F125" s="3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4">
    <cfRule type="cellIs" dxfId="7"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0" workbookViewId="0">
      <selection activeCell="D125" sqref="D125:F132"/>
    </sheetView>
  </sheetViews>
  <sheetFormatPr defaultRowHeight="15" x14ac:dyDescent="0.25"/>
  <cols>
    <col min="1" max="1" width="4.375" bestFit="1" customWidth="1"/>
    <col min="3" max="7" width="10" bestFit="1" customWidth="1"/>
    <col min="8" max="8" width="3.75" customWidth="1"/>
    <col min="9" max="10" width="13.25" customWidth="1"/>
    <col min="11" max="11" width="10.1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156</v>
      </c>
      <c r="I1" s="3">
        <v>5000</v>
      </c>
      <c r="J1" s="181" t="s">
        <v>173</v>
      </c>
      <c r="L1" s="1"/>
      <c r="M1" s="4"/>
      <c r="N1" s="4"/>
      <c r="O1" s="4"/>
      <c r="P1" s="4"/>
      <c r="Q1" s="64"/>
      <c r="R1" s="28"/>
    </row>
    <row r="2" spans="1:18" ht="15.75" customHeight="1" thickBot="1" x14ac:dyDescent="0.3">
      <c r="B2" t="s">
        <v>227</v>
      </c>
      <c r="C2">
        <v>20</v>
      </c>
      <c r="F2" s="5">
        <f>'Asset and Liability Durations'!N35</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9">
        <f>+SUMPRODUCT(B5:B59,I5:I59,F5:F59)/SUMPRODUCT(F5:F59,I5:I59)</f>
        <v>9.2098179274162035</v>
      </c>
      <c r="N3" s="10"/>
      <c r="O3" s="10"/>
      <c r="P3" s="10"/>
      <c r="Q3" s="31"/>
      <c r="R3" s="32"/>
    </row>
    <row r="4" spans="1:18" x14ac:dyDescent="0.25">
      <c r="A4">
        <v>90</v>
      </c>
      <c r="B4">
        <v>0</v>
      </c>
      <c r="C4" s="8"/>
      <c r="D4" s="7"/>
      <c r="E4" s="7"/>
      <c r="F4" s="7"/>
      <c r="G4" s="10">
        <v>1</v>
      </c>
      <c r="J4" s="11">
        <f>(SUM(G5:$G$79)*$I$1)</f>
        <v>67955.229739322269</v>
      </c>
      <c r="Q4" s="65">
        <v>0</v>
      </c>
      <c r="R4" s="66">
        <f>Inputs!H7</f>
        <v>1.6050000000000001E-3</v>
      </c>
    </row>
    <row r="5" spans="1:18" ht="15.75" thickBot="1" x14ac:dyDescent="0.3">
      <c r="A5">
        <f>B5+$A$4</f>
        <v>91</v>
      </c>
      <c r="B5">
        <v>1</v>
      </c>
      <c r="C5" s="12">
        <f>VLOOKUP(A5,$Q$4:$R$124,2,FALSE)</f>
        <v>0.12311900000000001</v>
      </c>
      <c r="D5" s="10">
        <f>1-C5</f>
        <v>0.87688100000000002</v>
      </c>
      <c r="E5" s="198">
        <f>IF(B5&lt;=$C$2,1,IF(B5=$C$2+1,PRODUCT($D$5:D5),E4*D5))</f>
        <v>1</v>
      </c>
      <c r="F5" s="10">
        <f t="shared" ref="F5:F34" si="0">IF(D5=0,0,(1+$F$2)^-B5)</f>
        <v>0.96153846153846145</v>
      </c>
      <c r="G5" s="10">
        <f>F5*E5</f>
        <v>0.96153846153846145</v>
      </c>
      <c r="I5" s="13">
        <f t="shared" ref="I5:I34" si="1">E5*$I$1</f>
        <v>5000</v>
      </c>
      <c r="J5" s="11">
        <f>(SUM(G6:$G$79)*$I$1)</f>
        <v>63147.537431629957</v>
      </c>
      <c r="K5" s="11">
        <f>J5-J4</f>
        <v>-4807.6923076923122</v>
      </c>
      <c r="L5" s="14" t="s">
        <v>16</v>
      </c>
      <c r="M5" s="14" t="s">
        <v>17</v>
      </c>
      <c r="N5" s="14" t="s">
        <v>18</v>
      </c>
      <c r="O5" s="14" t="s">
        <v>47</v>
      </c>
      <c r="Q5" s="65">
        <v>1</v>
      </c>
      <c r="R5" s="66">
        <f>Inputs!H8</f>
        <v>4.0099999999999999E-4</v>
      </c>
    </row>
    <row r="6" spans="1:18" x14ac:dyDescent="0.25">
      <c r="A6">
        <f t="shared" ref="A6:A34" si="2">B6+$A$4</f>
        <v>92</v>
      </c>
      <c r="B6">
        <v>2</v>
      </c>
      <c r="C6" s="12">
        <f t="shared" ref="C6:C34" si="3">VLOOKUP(A6,$Q$4:$R$124,2,FALSE)</f>
        <v>0.13716800000000001</v>
      </c>
      <c r="D6" s="10">
        <f t="shared" ref="D6:D34" si="4">1-C6</f>
        <v>0.86283200000000004</v>
      </c>
      <c r="E6" s="198">
        <f>IF(B6&lt;=$C$2,1,IF(B6=$C$2+1,PRODUCT($D$5:D6),E5*D6))</f>
        <v>1</v>
      </c>
      <c r="F6" s="10">
        <f t="shared" si="0"/>
        <v>0.92455621301775137</v>
      </c>
      <c r="G6" s="10">
        <f t="shared" ref="G6:G34" si="5">F6*E6</f>
        <v>0.92455621301775137</v>
      </c>
      <c r="I6" s="13">
        <f t="shared" si="1"/>
        <v>5000</v>
      </c>
      <c r="J6" s="11">
        <f>(SUM(G7:$G$79)*$I$1)</f>
        <v>58524.756366541194</v>
      </c>
      <c r="K6" s="11">
        <f t="shared" ref="K6:K34" si="6">J6-J5</f>
        <v>-4622.7810650887623</v>
      </c>
      <c r="L6" s="14">
        <v>2</v>
      </c>
      <c r="M6" s="54" t="s">
        <v>44</v>
      </c>
      <c r="N6" s="15">
        <f>SUM(I5:I7)</f>
        <v>15000</v>
      </c>
      <c r="O6" s="16">
        <f>N6/SUM($N$6:$N$9)</f>
        <v>0.14998703229445251</v>
      </c>
      <c r="Q6" s="65">
        <v>2</v>
      </c>
      <c r="R6" s="66">
        <f>Inputs!H9</f>
        <v>2.7500000000000002E-4</v>
      </c>
    </row>
    <row r="7" spans="1:18" x14ac:dyDescent="0.25">
      <c r="A7">
        <f t="shared" si="2"/>
        <v>93</v>
      </c>
      <c r="B7">
        <v>3</v>
      </c>
      <c r="C7" s="12">
        <f t="shared" si="3"/>
        <v>0.152171</v>
      </c>
      <c r="D7" s="10">
        <f t="shared" si="4"/>
        <v>0.84782899999999994</v>
      </c>
      <c r="E7" s="198">
        <f>IF(B7&lt;=$C$2,1,IF(B7=$C$2+1,PRODUCT($D$5:D7),E6*D7))</f>
        <v>1</v>
      </c>
      <c r="F7" s="10">
        <f t="shared" si="0"/>
        <v>0.88899635867091487</v>
      </c>
      <c r="G7" s="10">
        <f t="shared" si="5"/>
        <v>0.88899635867091487</v>
      </c>
      <c r="I7" s="13">
        <f t="shared" si="1"/>
        <v>5000</v>
      </c>
      <c r="J7" s="11">
        <f>(SUM(G8:$G$79)*$I$1)</f>
        <v>54079.774573186616</v>
      </c>
      <c r="K7" s="11">
        <f t="shared" si="6"/>
        <v>-4444.9817933545783</v>
      </c>
      <c r="L7" s="14">
        <v>5</v>
      </c>
      <c r="M7" s="19" t="s">
        <v>45</v>
      </c>
      <c r="N7" s="17">
        <f>SUM(I8:I11)</f>
        <v>20000</v>
      </c>
      <c r="O7" s="18">
        <f>N7/SUM($N$6:$N$9)</f>
        <v>0.19998270972593668</v>
      </c>
      <c r="Q7" s="65">
        <v>3</v>
      </c>
      <c r="R7" s="66">
        <f>Inputs!H10</f>
        <v>2.2900000000000001E-4</v>
      </c>
    </row>
    <row r="8" spans="1:18" x14ac:dyDescent="0.25">
      <c r="A8">
        <f t="shared" si="2"/>
        <v>94</v>
      </c>
      <c r="B8">
        <v>4</v>
      </c>
      <c r="C8" s="12">
        <f t="shared" si="3"/>
        <v>0.16819400000000001</v>
      </c>
      <c r="D8" s="10">
        <f t="shared" si="4"/>
        <v>0.83180600000000005</v>
      </c>
      <c r="E8" s="198">
        <f>IF(B8&lt;=$C$2,1,IF(B8=$C$2+1,PRODUCT($D$5:D8),E7*D8))</f>
        <v>1</v>
      </c>
      <c r="F8" s="10">
        <f t="shared" si="0"/>
        <v>0.85480419102972571</v>
      </c>
      <c r="G8" s="10">
        <f>F8*E8</f>
        <v>0.85480419102972571</v>
      </c>
      <c r="I8" s="13">
        <f t="shared" si="1"/>
        <v>5000</v>
      </c>
      <c r="J8" s="11">
        <f>(SUM(G9:$G$79)*$I$1)</f>
        <v>49805.75361803799</v>
      </c>
      <c r="K8" s="11">
        <f t="shared" si="6"/>
        <v>-4274.0209551486259</v>
      </c>
      <c r="L8" s="14">
        <v>10</v>
      </c>
      <c r="M8" s="19" t="s">
        <v>46</v>
      </c>
      <c r="N8" s="17">
        <f>SUM(I12:I19)</f>
        <v>40000</v>
      </c>
      <c r="O8" s="18">
        <f>N8/SUM($N$6:$N$9)</f>
        <v>0.39996541945187336</v>
      </c>
      <c r="Q8" s="65">
        <v>4</v>
      </c>
      <c r="R8" s="66">
        <f>Inputs!H11</f>
        <v>1.74E-4</v>
      </c>
    </row>
    <row r="9" spans="1:18" ht="15.75" thickBot="1" x14ac:dyDescent="0.3">
      <c r="A9">
        <f t="shared" si="2"/>
        <v>95</v>
      </c>
      <c r="B9">
        <v>5</v>
      </c>
      <c r="C9" s="12">
        <f t="shared" si="3"/>
        <v>0.18526000000000001</v>
      </c>
      <c r="D9" s="10">
        <f t="shared" si="4"/>
        <v>0.81474000000000002</v>
      </c>
      <c r="E9" s="198">
        <f>IF(B9&lt;=$C$2,1,IF(B9=$C$2+1,PRODUCT($D$5:D9),E8*D9))</f>
        <v>1</v>
      </c>
      <c r="F9" s="10">
        <f t="shared" si="0"/>
        <v>0.82192710675935154</v>
      </c>
      <c r="G9" s="10">
        <f t="shared" si="5"/>
        <v>0.82192710675935154</v>
      </c>
      <c r="I9" s="13">
        <f t="shared" si="1"/>
        <v>5000</v>
      </c>
      <c r="J9" s="11">
        <f>(SUM(G10:$G$79)*$I$1)</f>
        <v>45696.118084241236</v>
      </c>
      <c r="K9" s="11">
        <f t="shared" si="6"/>
        <v>-4109.6355337967543</v>
      </c>
      <c r="L9" s="14">
        <v>30</v>
      </c>
      <c r="M9" s="20" t="s">
        <v>48</v>
      </c>
      <c r="N9" s="21">
        <f>SUM(I20:I70)</f>
        <v>25008.645884480229</v>
      </c>
      <c r="O9" s="22">
        <f>N9/SUM($N$6:$N$9)</f>
        <v>0.25006483852773753</v>
      </c>
      <c r="Q9" s="65">
        <v>5</v>
      </c>
      <c r="R9" s="66">
        <f>Inputs!H12</f>
        <v>1.6799999999999999E-4</v>
      </c>
    </row>
    <row r="10" spans="1:18" x14ac:dyDescent="0.25">
      <c r="A10">
        <f t="shared" si="2"/>
        <v>96</v>
      </c>
      <c r="B10">
        <v>6</v>
      </c>
      <c r="C10" s="12">
        <f t="shared" si="3"/>
        <v>0.197322</v>
      </c>
      <c r="D10" s="10">
        <f t="shared" si="4"/>
        <v>0.802678</v>
      </c>
      <c r="E10" s="198">
        <f>IF(B10&lt;=$C$2,1,IF(B10=$C$2+1,PRODUCT($D$5:D10),E9*D10))</f>
        <v>1</v>
      </c>
      <c r="F10" s="10">
        <f t="shared" si="0"/>
        <v>0.79031452573014571</v>
      </c>
      <c r="G10" s="10">
        <f t="shared" si="5"/>
        <v>0.79031452573014571</v>
      </c>
      <c r="I10" s="13">
        <f t="shared" si="1"/>
        <v>5000</v>
      </c>
      <c r="J10" s="11">
        <f>(SUM(G11:$G$79)*$I$1)</f>
        <v>41744.545455590509</v>
      </c>
      <c r="K10" s="11">
        <f t="shared" si="6"/>
        <v>-3951.572628650727</v>
      </c>
      <c r="L10" s="53">
        <f>+SUMPRODUCT(L6:L9,O6:O9)</f>
        <v>12.801486963569449</v>
      </c>
      <c r="O10" s="23">
        <f>SUM(O6:O9)</f>
        <v>1</v>
      </c>
      <c r="Q10" s="65">
        <v>6</v>
      </c>
      <c r="R10" s="66">
        <f>Inputs!H13</f>
        <v>1.65E-4</v>
      </c>
    </row>
    <row r="11" spans="1:18" x14ac:dyDescent="0.25">
      <c r="A11">
        <f t="shared" si="2"/>
        <v>97</v>
      </c>
      <c r="B11">
        <v>7</v>
      </c>
      <c r="C11" s="12">
        <f t="shared" si="3"/>
        <v>0.214751</v>
      </c>
      <c r="D11" s="10">
        <f t="shared" si="4"/>
        <v>0.78524899999999997</v>
      </c>
      <c r="E11" s="198">
        <f>IF(B11&lt;=$C$2,1,IF(B11=$C$2+1,PRODUCT($D$5:D11),E10*D11))</f>
        <v>1</v>
      </c>
      <c r="F11" s="10">
        <f t="shared" si="0"/>
        <v>0.75991781320206331</v>
      </c>
      <c r="G11" s="10">
        <f t="shared" si="5"/>
        <v>0.75991781320206331</v>
      </c>
      <c r="I11" s="13">
        <f t="shared" si="1"/>
        <v>5000</v>
      </c>
      <c r="J11" s="11">
        <f>(SUM(G12:$G$79)*$I$1)</f>
        <v>37944.956389580198</v>
      </c>
      <c r="K11" s="11">
        <f t="shared" si="6"/>
        <v>-3799.5890660103105</v>
      </c>
      <c r="Q11" s="65">
        <v>7</v>
      </c>
      <c r="R11" s="66">
        <f>Inputs!H14</f>
        <v>1.5899999999999999E-4</v>
      </c>
    </row>
    <row r="12" spans="1:18" x14ac:dyDescent="0.25">
      <c r="A12">
        <f t="shared" si="2"/>
        <v>98</v>
      </c>
      <c r="B12">
        <v>8</v>
      </c>
      <c r="C12" s="12">
        <f t="shared" si="3"/>
        <v>0.23250699999999999</v>
      </c>
      <c r="D12" s="10">
        <f t="shared" si="4"/>
        <v>0.76749299999999998</v>
      </c>
      <c r="E12" s="198">
        <f>IF(B12&lt;=$C$2,1,IF(B12=$C$2+1,PRODUCT($D$5:D12),E11*D12))</f>
        <v>1</v>
      </c>
      <c r="F12" s="10">
        <f t="shared" si="0"/>
        <v>0.73069020500198378</v>
      </c>
      <c r="G12" s="10">
        <f t="shared" si="5"/>
        <v>0.73069020500198378</v>
      </c>
      <c r="I12" s="13">
        <f t="shared" si="1"/>
        <v>5000</v>
      </c>
      <c r="J12" s="11">
        <f>(SUM(G13:$G$79)*$I$1)</f>
        <v>34291.505364570279</v>
      </c>
      <c r="K12" s="11">
        <f t="shared" si="6"/>
        <v>-3653.4510250099192</v>
      </c>
      <c r="Q12" s="65">
        <v>8</v>
      </c>
      <c r="R12" s="66">
        <f>Inputs!H15</f>
        <v>1.4300000000000001E-4</v>
      </c>
    </row>
    <row r="13" spans="1:18" x14ac:dyDescent="0.25">
      <c r="A13">
        <f t="shared" si="2"/>
        <v>99</v>
      </c>
      <c r="B13">
        <v>9</v>
      </c>
      <c r="C13" s="12">
        <f t="shared" si="3"/>
        <v>0.25039699999999998</v>
      </c>
      <c r="D13" s="10">
        <f t="shared" si="4"/>
        <v>0.74960300000000002</v>
      </c>
      <c r="E13" s="198">
        <f>IF(B13&lt;=$C$2,1,IF(B13=$C$2+1,PRODUCT($D$5:D13),E12*D13))</f>
        <v>1</v>
      </c>
      <c r="F13" s="10">
        <f t="shared" si="0"/>
        <v>0.70258673557883045</v>
      </c>
      <c r="G13" s="10">
        <f t="shared" si="5"/>
        <v>0.70258673557883045</v>
      </c>
      <c r="I13" s="13">
        <f t="shared" si="1"/>
        <v>5000</v>
      </c>
      <c r="J13" s="11">
        <f>(SUM(G14:$G$79)*$I$1)</f>
        <v>30778.571686676125</v>
      </c>
      <c r="K13" s="11">
        <f t="shared" si="6"/>
        <v>-3512.9336778941542</v>
      </c>
      <c r="Q13" s="65">
        <v>9</v>
      </c>
      <c r="R13" s="66">
        <f>Inputs!H16</f>
        <v>1.2899999999999999E-4</v>
      </c>
    </row>
    <row r="14" spans="1:18" x14ac:dyDescent="0.25">
      <c r="A14">
        <f t="shared" si="2"/>
        <v>100</v>
      </c>
      <c r="B14">
        <v>10</v>
      </c>
      <c r="C14" s="12">
        <f t="shared" si="3"/>
        <v>0.26860699999999998</v>
      </c>
      <c r="D14" s="10">
        <f t="shared" si="4"/>
        <v>0.73139299999999996</v>
      </c>
      <c r="E14" s="198">
        <f>IF(B14&lt;=$C$2,1,IF(B14=$C$2+1,PRODUCT($D$5:D14),E13*D14))</f>
        <v>1</v>
      </c>
      <c r="F14" s="10">
        <f t="shared" si="0"/>
        <v>0.67556416882579851</v>
      </c>
      <c r="G14" s="10">
        <f t="shared" si="5"/>
        <v>0.67556416882579851</v>
      </c>
      <c r="I14" s="13">
        <f t="shared" si="1"/>
        <v>5000</v>
      </c>
      <c r="J14" s="11">
        <f>(SUM(G15:$G$79)*$I$1)</f>
        <v>27400.750842547135</v>
      </c>
      <c r="K14" s="11">
        <f t="shared" si="6"/>
        <v>-3377.8208441289898</v>
      </c>
      <c r="Q14" s="65">
        <v>10</v>
      </c>
      <c r="R14" s="66">
        <f>Inputs!H17</f>
        <v>1.13E-4</v>
      </c>
    </row>
    <row r="15" spans="1:18" x14ac:dyDescent="0.25">
      <c r="A15">
        <f t="shared" si="2"/>
        <v>101</v>
      </c>
      <c r="B15">
        <v>11</v>
      </c>
      <c r="C15" s="12">
        <f t="shared" si="3"/>
        <v>0.290016</v>
      </c>
      <c r="D15" s="10">
        <f t="shared" si="4"/>
        <v>0.70998399999999995</v>
      </c>
      <c r="E15" s="198">
        <f>IF(B15&lt;=$C$2,1,IF(B15=$C$2+1,PRODUCT($D$5:D15),E14*D15))</f>
        <v>1</v>
      </c>
      <c r="F15" s="10">
        <f t="shared" si="0"/>
        <v>0.6495809315632679</v>
      </c>
      <c r="G15" s="10">
        <f t="shared" si="5"/>
        <v>0.6495809315632679</v>
      </c>
      <c r="I15" s="13">
        <f t="shared" si="1"/>
        <v>5000</v>
      </c>
      <c r="J15" s="11">
        <f>(SUM(G16:$G$79)*$I$1)</f>
        <v>24152.846184730795</v>
      </c>
      <c r="K15" s="11">
        <f t="shared" si="6"/>
        <v>-3247.9046578163397</v>
      </c>
      <c r="Q15" s="65">
        <v>11</v>
      </c>
      <c r="R15" s="66">
        <f>Inputs!H18</f>
        <v>1.11E-4</v>
      </c>
    </row>
    <row r="16" spans="1:18" x14ac:dyDescent="0.25">
      <c r="A16">
        <f t="shared" si="2"/>
        <v>102</v>
      </c>
      <c r="B16">
        <v>12</v>
      </c>
      <c r="C16" s="12">
        <f t="shared" si="3"/>
        <v>0.31184899999999999</v>
      </c>
      <c r="D16" s="10">
        <f t="shared" si="4"/>
        <v>0.68815099999999996</v>
      </c>
      <c r="E16" s="198">
        <f>IF(B16&lt;=$C$2,1,IF(B16=$C$2+1,PRODUCT($D$5:D16),E15*D16))</f>
        <v>1</v>
      </c>
      <c r="F16" s="10">
        <f t="shared" si="0"/>
        <v>0.62459704958006512</v>
      </c>
      <c r="G16" s="10">
        <f t="shared" si="5"/>
        <v>0.62459704958006512</v>
      </c>
      <c r="I16" s="13">
        <f t="shared" si="1"/>
        <v>5000</v>
      </c>
      <c r="J16" s="11">
        <f>(SUM(G17:$G$79)*$I$1)</f>
        <v>21029.860936830471</v>
      </c>
      <c r="K16" s="11">
        <f t="shared" si="6"/>
        <v>-3122.9852479003239</v>
      </c>
      <c r="Q16" s="65">
        <v>12</v>
      </c>
      <c r="R16" s="66">
        <f>Inputs!H19</f>
        <v>1.3200000000000001E-4</v>
      </c>
    </row>
    <row r="17" spans="1:18" x14ac:dyDescent="0.25">
      <c r="A17">
        <f t="shared" si="2"/>
        <v>103</v>
      </c>
      <c r="B17">
        <v>13</v>
      </c>
      <c r="C17" s="12">
        <f t="shared" si="3"/>
        <v>0.33396199999999998</v>
      </c>
      <c r="D17" s="10">
        <f t="shared" si="4"/>
        <v>0.66603800000000002</v>
      </c>
      <c r="E17" s="198">
        <f>IF(B17&lt;=$C$2,1,IF(B17=$C$2+1,PRODUCT($D$5:D17),E16*D17))</f>
        <v>1</v>
      </c>
      <c r="F17" s="10">
        <f t="shared" si="0"/>
        <v>0.600574086134678</v>
      </c>
      <c r="G17" s="10">
        <f t="shared" si="5"/>
        <v>0.600574086134678</v>
      </c>
      <c r="I17" s="13">
        <f t="shared" si="1"/>
        <v>5000</v>
      </c>
      <c r="J17" s="11">
        <f>(SUM(G18:$G$79)*$I$1)</f>
        <v>18026.990506157079</v>
      </c>
      <c r="K17" s="11">
        <f t="shared" si="6"/>
        <v>-3002.8704306733925</v>
      </c>
      <c r="Q17" s="65">
        <v>13</v>
      </c>
      <c r="R17" s="66">
        <f>Inputs!H20</f>
        <v>1.6899999999999999E-4</v>
      </c>
    </row>
    <row r="18" spans="1:18" x14ac:dyDescent="0.25">
      <c r="A18">
        <f t="shared" si="2"/>
        <v>104</v>
      </c>
      <c r="B18">
        <v>14</v>
      </c>
      <c r="C18" s="12">
        <f t="shared" si="3"/>
        <v>0.356207</v>
      </c>
      <c r="D18" s="10">
        <f t="shared" si="4"/>
        <v>0.64379300000000006</v>
      </c>
      <c r="E18" s="198">
        <f>IF(B18&lt;=$C$2,1,IF(B18=$C$2+1,PRODUCT($D$5:D18),E17*D18))</f>
        <v>1</v>
      </c>
      <c r="F18" s="10">
        <f t="shared" si="0"/>
        <v>0.57747508282180582</v>
      </c>
      <c r="G18" s="10">
        <f t="shared" si="5"/>
        <v>0.57747508282180582</v>
      </c>
      <c r="I18" s="13">
        <f t="shared" si="1"/>
        <v>5000</v>
      </c>
      <c r="J18" s="11">
        <f>(SUM(G19:$G$79)*$I$1)</f>
        <v>15139.61509204805</v>
      </c>
      <c r="K18" s="11">
        <f t="shared" si="6"/>
        <v>-2887.3754141090285</v>
      </c>
      <c r="Q18" s="65">
        <v>14</v>
      </c>
      <c r="R18" s="66">
        <f>Inputs!H21</f>
        <v>2.13E-4</v>
      </c>
    </row>
    <row r="19" spans="1:18" x14ac:dyDescent="0.25">
      <c r="A19">
        <f t="shared" si="2"/>
        <v>105</v>
      </c>
      <c r="B19">
        <v>15</v>
      </c>
      <c r="C19" s="12">
        <f t="shared" si="3"/>
        <v>0.38</v>
      </c>
      <c r="D19" s="10">
        <f t="shared" si="4"/>
        <v>0.62</v>
      </c>
      <c r="E19" s="198">
        <f>IF(B19&lt;=$C$2,1,IF(B19=$C$2+1,PRODUCT($D$5:D19),E18*D19))</f>
        <v>1</v>
      </c>
      <c r="F19" s="10">
        <f t="shared" si="0"/>
        <v>0.55526450271327477</v>
      </c>
      <c r="G19" s="10">
        <f t="shared" si="5"/>
        <v>0.55526450271327477</v>
      </c>
      <c r="I19" s="13">
        <f t="shared" si="1"/>
        <v>5000</v>
      </c>
      <c r="J19" s="11">
        <f>(SUM(G20:$G$79)*$I$1)</f>
        <v>12363.292578481678</v>
      </c>
      <c r="K19" s="11">
        <f t="shared" si="6"/>
        <v>-2776.3225135663724</v>
      </c>
      <c r="Q19" s="65">
        <v>15</v>
      </c>
      <c r="R19" s="66">
        <f>Inputs!H22</f>
        <v>2.5399999999999999E-4</v>
      </c>
    </row>
    <row r="20" spans="1:18" x14ac:dyDescent="0.25">
      <c r="A20">
        <f t="shared" si="2"/>
        <v>106</v>
      </c>
      <c r="B20">
        <v>16</v>
      </c>
      <c r="C20" s="12">
        <f t="shared" si="3"/>
        <v>0.4</v>
      </c>
      <c r="D20" s="10">
        <f t="shared" si="4"/>
        <v>0.6</v>
      </c>
      <c r="E20" s="198">
        <f>IF(B20&lt;=$C$2,1,IF(B20=$C$2+1,PRODUCT($D$5:D20),E19*D20))</f>
        <v>1</v>
      </c>
      <c r="F20" s="10">
        <f t="shared" si="0"/>
        <v>0.53390817568584104</v>
      </c>
      <c r="G20" s="10">
        <f t="shared" si="5"/>
        <v>0.53390817568584104</v>
      </c>
      <c r="I20" s="13">
        <f t="shared" si="1"/>
        <v>5000</v>
      </c>
      <c r="J20" s="11">
        <f>(SUM(G21:$G$79)*$I$1)</f>
        <v>9693.7517000524695</v>
      </c>
      <c r="K20" s="11">
        <f t="shared" si="6"/>
        <v>-2669.5408784292085</v>
      </c>
      <c r="Q20" s="65">
        <v>16</v>
      </c>
      <c r="R20" s="66">
        <f>Inputs!H23</f>
        <v>2.9300000000000002E-4</v>
      </c>
    </row>
    <row r="21" spans="1:18" x14ac:dyDescent="0.25">
      <c r="A21">
        <f t="shared" si="2"/>
        <v>107</v>
      </c>
      <c r="B21">
        <v>17</v>
      </c>
      <c r="C21" s="12">
        <f t="shared" si="3"/>
        <v>0.4</v>
      </c>
      <c r="D21" s="10">
        <f t="shared" si="4"/>
        <v>0.6</v>
      </c>
      <c r="E21" s="198">
        <f>IF(B21&lt;=$C$2,1,IF(B21=$C$2+1,PRODUCT($D$5:D21),E20*D21))</f>
        <v>1</v>
      </c>
      <c r="F21" s="10">
        <f t="shared" si="0"/>
        <v>0.51337324585177024</v>
      </c>
      <c r="G21" s="10">
        <f t="shared" si="5"/>
        <v>0.51337324585177024</v>
      </c>
      <c r="I21" s="13">
        <f t="shared" si="1"/>
        <v>5000</v>
      </c>
      <c r="J21" s="11">
        <f>(SUM(G22:$G$79)*$I$1)</f>
        <v>7126.8854707936171</v>
      </c>
      <c r="K21" s="11">
        <f t="shared" si="6"/>
        <v>-2566.8662292588524</v>
      </c>
      <c r="Q21" s="65">
        <v>17</v>
      </c>
      <c r="R21" s="66">
        <f>Inputs!H24</f>
        <v>3.28E-4</v>
      </c>
    </row>
    <row r="22" spans="1:18" x14ac:dyDescent="0.25">
      <c r="A22">
        <f t="shared" si="2"/>
        <v>108</v>
      </c>
      <c r="B22">
        <v>18</v>
      </c>
      <c r="C22" s="12">
        <f t="shared" si="3"/>
        <v>0.4</v>
      </c>
      <c r="D22" s="10">
        <f t="shared" si="4"/>
        <v>0.6</v>
      </c>
      <c r="E22" s="198">
        <f>IF(B22&lt;=$C$2,1,IF(B22=$C$2+1,PRODUCT($D$5:D22),E21*D22))</f>
        <v>1</v>
      </c>
      <c r="F22" s="10">
        <f t="shared" si="0"/>
        <v>0.49362812101131748</v>
      </c>
      <c r="G22" s="10">
        <f t="shared" si="5"/>
        <v>0.49362812101131748</v>
      </c>
      <c r="I22" s="13">
        <f t="shared" si="1"/>
        <v>5000</v>
      </c>
      <c r="J22" s="11">
        <f>(SUM(G23:$G$79)*$I$1)</f>
        <v>4658.7448657370314</v>
      </c>
      <c r="K22" s="11">
        <f t="shared" si="6"/>
        <v>-2468.1406050565856</v>
      </c>
      <c r="Q22" s="65">
        <v>18</v>
      </c>
      <c r="R22" s="66">
        <f>Inputs!H25</f>
        <v>3.59E-4</v>
      </c>
    </row>
    <row r="23" spans="1:18" x14ac:dyDescent="0.25">
      <c r="A23">
        <f t="shared" si="2"/>
        <v>109</v>
      </c>
      <c r="B23">
        <v>19</v>
      </c>
      <c r="C23" s="12">
        <f t="shared" si="3"/>
        <v>0.4</v>
      </c>
      <c r="D23" s="10">
        <f t="shared" si="4"/>
        <v>0.6</v>
      </c>
      <c r="E23" s="198">
        <f>IF(B23&lt;=$C$2,1,IF(B23=$C$2+1,PRODUCT($D$5:D23),E22*D23))</f>
        <v>1</v>
      </c>
      <c r="F23" s="10">
        <f t="shared" si="0"/>
        <v>0.47464242404934376</v>
      </c>
      <c r="G23" s="10">
        <f t="shared" si="5"/>
        <v>0.47464242404934376</v>
      </c>
      <c r="I23" s="13">
        <f t="shared" si="1"/>
        <v>5000</v>
      </c>
      <c r="J23" s="11">
        <f>(SUM(G24:$G$79)*$I$1)</f>
        <v>2285.5327454903127</v>
      </c>
      <c r="K23" s="11">
        <f t="shared" si="6"/>
        <v>-2373.2121202467188</v>
      </c>
      <c r="Q23" s="65">
        <v>19</v>
      </c>
      <c r="R23" s="66">
        <f>Inputs!H26</f>
        <v>3.8699999999999997E-4</v>
      </c>
    </row>
    <row r="24" spans="1:18" x14ac:dyDescent="0.25">
      <c r="A24">
        <f t="shared" si="2"/>
        <v>110</v>
      </c>
      <c r="B24">
        <v>20</v>
      </c>
      <c r="C24" s="12">
        <f t="shared" si="3"/>
        <v>0.4</v>
      </c>
      <c r="D24" s="10">
        <f t="shared" si="4"/>
        <v>0.6</v>
      </c>
      <c r="E24" s="198">
        <f>IF(B24&lt;=$C$2,1,IF(B24=$C$2+1,PRODUCT($D$5:D24),E23*D24))</f>
        <v>1</v>
      </c>
      <c r="F24" s="10">
        <f t="shared" si="0"/>
        <v>0.45638694620129205</v>
      </c>
      <c r="G24" s="10">
        <f t="shared" si="5"/>
        <v>0.45638694620129205</v>
      </c>
      <c r="I24" s="13">
        <f t="shared" si="1"/>
        <v>5000</v>
      </c>
      <c r="J24" s="11">
        <f>(SUM(G25:$G$79)*$I$1)</f>
        <v>3.5980144838523258</v>
      </c>
      <c r="K24" s="11">
        <f t="shared" si="6"/>
        <v>-2281.9347310064604</v>
      </c>
      <c r="Q24" s="65">
        <v>20</v>
      </c>
      <c r="R24" s="66">
        <f>Inputs!H27</f>
        <v>4.1399999999999998E-4</v>
      </c>
    </row>
    <row r="25" spans="1:18" x14ac:dyDescent="0.25">
      <c r="A25">
        <f t="shared" si="2"/>
        <v>111</v>
      </c>
      <c r="B25">
        <v>21</v>
      </c>
      <c r="C25" s="12">
        <f t="shared" si="3"/>
        <v>0.4</v>
      </c>
      <c r="D25" s="10">
        <f t="shared" si="4"/>
        <v>0.6</v>
      </c>
      <c r="E25" s="198">
        <f>IF(B25&lt;=$C$2,1,IF(B25=$C$2+1,PRODUCT($D$5:D25),E24*D25))</f>
        <v>6.9871216723106926E-4</v>
      </c>
      <c r="F25" s="10">
        <f t="shared" si="0"/>
        <v>0.43883360211662686</v>
      </c>
      <c r="G25" s="10">
        <f t="shared" si="5"/>
        <v>3.0661837718872512E-4</v>
      </c>
      <c r="I25" s="13">
        <f t="shared" si="1"/>
        <v>3.4935608361553463</v>
      </c>
      <c r="J25" s="11">
        <f>(SUM(G26:$G$79)*$I$1)</f>
        <v>2.0649225979087</v>
      </c>
      <c r="K25" s="11">
        <f t="shared" si="6"/>
        <v>-1.5330918859436258</v>
      </c>
      <c r="Q25" s="65">
        <v>21</v>
      </c>
      <c r="R25" s="66">
        <f>Inputs!H28</f>
        <v>4.4299999999999998E-4</v>
      </c>
    </row>
    <row r="26" spans="1:18" x14ac:dyDescent="0.25">
      <c r="A26">
        <f t="shared" si="2"/>
        <v>112</v>
      </c>
      <c r="B26">
        <v>22</v>
      </c>
      <c r="C26" s="12">
        <f t="shared" si="3"/>
        <v>0.4</v>
      </c>
      <c r="D26" s="10">
        <f t="shared" si="4"/>
        <v>0.6</v>
      </c>
      <c r="E26" s="198">
        <f>IF(B26&lt;=$C$2,1,IF(B26=$C$2+1,PRODUCT($D$5:D26),E25*D26))</f>
        <v>4.1922730033864153E-4</v>
      </c>
      <c r="F26" s="10">
        <f t="shared" si="0"/>
        <v>0.42195538665060278</v>
      </c>
      <c r="G26" s="10">
        <f t="shared" si="5"/>
        <v>1.7689521760887986E-4</v>
      </c>
      <c r="I26" s="13">
        <f t="shared" si="1"/>
        <v>2.0961365016932079</v>
      </c>
      <c r="J26" s="11">
        <f>(SUM(G27:$G$79)*$I$1)</f>
        <v>1.1804465098643007</v>
      </c>
      <c r="K26" s="11">
        <f t="shared" si="6"/>
        <v>-0.88447608804439937</v>
      </c>
      <c r="Q26" s="65">
        <v>22</v>
      </c>
      <c r="R26" s="66">
        <f>Inputs!H29</f>
        <v>4.73E-4</v>
      </c>
    </row>
    <row r="27" spans="1:18" x14ac:dyDescent="0.25">
      <c r="A27">
        <f t="shared" si="2"/>
        <v>113</v>
      </c>
      <c r="B27">
        <v>23</v>
      </c>
      <c r="C27" s="12">
        <f t="shared" si="3"/>
        <v>0.4</v>
      </c>
      <c r="D27" s="10">
        <f t="shared" si="4"/>
        <v>0.6</v>
      </c>
      <c r="E27" s="198">
        <f>IF(B27&lt;=$C$2,1,IF(B27=$C$2+1,PRODUCT($D$5:D27),E26*D27))</f>
        <v>2.5153638020318492E-4</v>
      </c>
      <c r="F27" s="10">
        <f t="shared" si="0"/>
        <v>0.40572633331788732</v>
      </c>
      <c r="G27" s="10">
        <f t="shared" si="5"/>
        <v>1.0205493323589223E-4</v>
      </c>
      <c r="I27" s="13">
        <f t="shared" si="1"/>
        <v>1.2576819010159246</v>
      </c>
      <c r="J27" s="11">
        <f>(SUM(G28:$G$79)*$I$1)</f>
        <v>0.67017184368483951</v>
      </c>
      <c r="K27" s="11">
        <f t="shared" si="6"/>
        <v>-0.51027466617946116</v>
      </c>
      <c r="Q27" s="65">
        <v>23</v>
      </c>
      <c r="R27" s="66">
        <f>Inputs!H30</f>
        <v>5.13E-4</v>
      </c>
    </row>
    <row r="28" spans="1:18" x14ac:dyDescent="0.25">
      <c r="A28">
        <f t="shared" si="2"/>
        <v>114</v>
      </c>
      <c r="B28">
        <v>24</v>
      </c>
      <c r="C28" s="12">
        <f t="shared" si="3"/>
        <v>0.4</v>
      </c>
      <c r="D28" s="10">
        <f t="shared" si="4"/>
        <v>0.6</v>
      </c>
      <c r="E28" s="198">
        <f>IF(B28&lt;=$C$2,1,IF(B28=$C$2+1,PRODUCT($D$5:D28),E27*D28))</f>
        <v>1.5092182812191096E-4</v>
      </c>
      <c r="F28" s="10">
        <f t="shared" si="0"/>
        <v>0.39012147434412242</v>
      </c>
      <c r="G28" s="10">
        <f t="shared" si="5"/>
        <v>5.8877846097630142E-5</v>
      </c>
      <c r="I28" s="13">
        <f t="shared" si="1"/>
        <v>0.75460914060955475</v>
      </c>
      <c r="J28" s="11">
        <f>(SUM(G29:$G$79)*$I$1)</f>
        <v>0.37578261319668871</v>
      </c>
      <c r="K28" s="11">
        <f t="shared" si="6"/>
        <v>-0.2943892304881508</v>
      </c>
      <c r="Q28" s="65">
        <v>24</v>
      </c>
      <c r="R28" s="66">
        <f>Inputs!H31</f>
        <v>5.5400000000000002E-4</v>
      </c>
    </row>
    <row r="29" spans="1:18" x14ac:dyDescent="0.25">
      <c r="A29">
        <f t="shared" si="2"/>
        <v>115</v>
      </c>
      <c r="B29">
        <v>25</v>
      </c>
      <c r="C29" s="12">
        <f t="shared" si="3"/>
        <v>0.4</v>
      </c>
      <c r="D29" s="10">
        <f t="shared" si="4"/>
        <v>0.6</v>
      </c>
      <c r="E29" s="198">
        <f>IF(B29&lt;=$C$2,1,IF(B29=$C$2+1,PRODUCT($D$5:D29),E28*D29))</f>
        <v>9.0553096873146574E-5</v>
      </c>
      <c r="F29" s="10">
        <f t="shared" si="0"/>
        <v>0.37511680225396377</v>
      </c>
      <c r="G29" s="10">
        <f t="shared" si="5"/>
        <v>3.3967988133248147E-5</v>
      </c>
      <c r="I29" s="13">
        <f t="shared" si="1"/>
        <v>0.45276548436573288</v>
      </c>
      <c r="J29" s="11">
        <f>(SUM(G30:$G$79)*$I$1)</f>
        <v>0.20594267253044798</v>
      </c>
      <c r="K29" s="11">
        <f t="shared" si="6"/>
        <v>-0.16983994066624072</v>
      </c>
      <c r="Q29" s="65">
        <v>25</v>
      </c>
      <c r="R29" s="66">
        <f>Inputs!H32</f>
        <v>6.02E-4</v>
      </c>
    </row>
    <row r="30" spans="1:18" x14ac:dyDescent="0.25">
      <c r="A30">
        <f t="shared" si="2"/>
        <v>116</v>
      </c>
      <c r="B30">
        <v>26</v>
      </c>
      <c r="C30" s="12">
        <f t="shared" si="3"/>
        <v>0.4</v>
      </c>
      <c r="D30" s="10">
        <f t="shared" si="4"/>
        <v>0.6</v>
      </c>
      <c r="E30" s="198">
        <f>IF(B30&lt;=$C$2,1,IF(B30=$C$2+1,PRODUCT($D$5:D30),E29*D30))</f>
        <v>5.4331858123887946E-5</v>
      </c>
      <c r="F30" s="10">
        <f t="shared" si="0"/>
        <v>0.36068923293650368</v>
      </c>
      <c r="G30" s="10">
        <f t="shared" si="5"/>
        <v>1.9596916230720088E-5</v>
      </c>
      <c r="I30" s="13">
        <f t="shared" si="1"/>
        <v>0.27165929061943972</v>
      </c>
      <c r="J30" s="11">
        <f>(SUM(G31:$G$79)*$I$1)</f>
        <v>0.10795809137684753</v>
      </c>
      <c r="K30" s="11">
        <f t="shared" si="6"/>
        <v>-9.7984581153600453E-2</v>
      </c>
      <c r="Q30" s="65">
        <v>26</v>
      </c>
      <c r="R30" s="66">
        <f>Inputs!H33</f>
        <v>6.5499999999999998E-4</v>
      </c>
    </row>
    <row r="31" spans="1:18" x14ac:dyDescent="0.25">
      <c r="A31">
        <f t="shared" si="2"/>
        <v>117</v>
      </c>
      <c r="B31">
        <v>27</v>
      </c>
      <c r="C31" s="12">
        <f t="shared" si="3"/>
        <v>0.4</v>
      </c>
      <c r="D31" s="10">
        <f t="shared" si="4"/>
        <v>0.6</v>
      </c>
      <c r="E31" s="198">
        <f>IF(B31&lt;=$C$2,1,IF(B31=$C$2+1,PRODUCT($D$5:D31),E30*D31))</f>
        <v>3.2599114874332768E-5</v>
      </c>
      <c r="F31" s="10">
        <f t="shared" si="0"/>
        <v>0.3468165701312535</v>
      </c>
      <c r="G31" s="10">
        <f t="shared" si="5"/>
        <v>1.130591321003082E-5</v>
      </c>
      <c r="I31" s="13">
        <f t="shared" si="1"/>
        <v>0.16299557437166384</v>
      </c>
      <c r="J31" s="11">
        <f>(SUM(G32:$G$79)*$I$1)</f>
        <v>5.1428525326693439E-2</v>
      </c>
      <c r="K31" s="11">
        <f t="shared" si="6"/>
        <v>-5.6529566050154093E-2</v>
      </c>
      <c r="Q31" s="65">
        <v>27</v>
      </c>
      <c r="R31" s="66">
        <f>Inputs!H34</f>
        <v>6.8800000000000003E-4</v>
      </c>
    </row>
    <row r="32" spans="1:18" x14ac:dyDescent="0.25">
      <c r="A32">
        <f t="shared" si="2"/>
        <v>118</v>
      </c>
      <c r="B32">
        <v>28</v>
      </c>
      <c r="C32" s="12">
        <f t="shared" si="3"/>
        <v>0.4</v>
      </c>
      <c r="D32" s="10">
        <f t="shared" si="4"/>
        <v>0.6</v>
      </c>
      <c r="E32" s="198">
        <f>IF(B32&lt;=$C$2,1,IF(B32=$C$2+1,PRODUCT($D$5:D32),E31*D32))</f>
        <v>1.9559468924599661E-5</v>
      </c>
      <c r="F32" s="10">
        <f t="shared" si="0"/>
        <v>0.3334774712800514</v>
      </c>
      <c r="G32" s="10">
        <f t="shared" si="5"/>
        <v>6.522642236556241E-6</v>
      </c>
      <c r="I32" s="13">
        <f t="shared" si="1"/>
        <v>9.77973446229983E-2</v>
      </c>
      <c r="J32" s="11">
        <f>(SUM(G33:$G$79)*$I$1)</f>
        <v>1.8815314143912232E-2</v>
      </c>
      <c r="K32" s="11">
        <f t="shared" si="6"/>
        <v>-3.261321118278121E-2</v>
      </c>
      <c r="Q32" s="65">
        <v>28</v>
      </c>
      <c r="R32" s="66">
        <f>Inputs!H35</f>
        <v>7.1000000000000002E-4</v>
      </c>
    </row>
    <row r="33" spans="1:18" x14ac:dyDescent="0.25">
      <c r="A33">
        <f t="shared" si="2"/>
        <v>119</v>
      </c>
      <c r="B33">
        <v>29</v>
      </c>
      <c r="C33" s="12">
        <f t="shared" si="3"/>
        <v>0.4</v>
      </c>
      <c r="D33" s="10">
        <f t="shared" si="4"/>
        <v>0.6</v>
      </c>
      <c r="E33" s="198">
        <f>IF(B33&lt;=$C$2,1,IF(B33=$C$2+1,PRODUCT($D$5:D33),E32*D33))</f>
        <v>1.1735681354759797E-5</v>
      </c>
      <c r="F33" s="10">
        <f t="shared" si="0"/>
        <v>0.32065141469235708</v>
      </c>
      <c r="G33" s="10">
        <f t="shared" si="5"/>
        <v>3.7630628287824465E-6</v>
      </c>
      <c r="I33" s="13">
        <f t="shared" si="1"/>
        <v>5.8678406773798986E-2</v>
      </c>
      <c r="J33" s="11">
        <f>(SUM(G34:$G$79)*$I$1)</f>
        <v>0</v>
      </c>
      <c r="K33" s="11">
        <f t="shared" si="6"/>
        <v>-1.8815314143912232E-2</v>
      </c>
      <c r="Q33" s="65">
        <v>29</v>
      </c>
      <c r="R33" s="66">
        <f>Inputs!H36</f>
        <v>7.27E-4</v>
      </c>
    </row>
    <row r="34" spans="1:18" x14ac:dyDescent="0.25">
      <c r="A34">
        <f t="shared" si="2"/>
        <v>120</v>
      </c>
      <c r="B34">
        <v>30</v>
      </c>
      <c r="C34" s="12">
        <f t="shared" si="3"/>
        <v>1</v>
      </c>
      <c r="D34" s="10">
        <f t="shared" si="4"/>
        <v>0</v>
      </c>
      <c r="E34" s="198">
        <f>IF(B34&lt;=$C$2,1,IF(B34=$C$2+1,PRODUCT($D$5:D34),E33*D34))</f>
        <v>0</v>
      </c>
      <c r="F34" s="10">
        <f t="shared" si="0"/>
        <v>0</v>
      </c>
      <c r="G34" s="10">
        <f t="shared" si="5"/>
        <v>0</v>
      </c>
      <c r="I34" s="13">
        <f t="shared" si="1"/>
        <v>0</v>
      </c>
      <c r="J34" s="11">
        <f>(SUM(G35:$G$79)*$I$1)</f>
        <v>0</v>
      </c>
      <c r="K34" s="11">
        <f t="shared" si="6"/>
        <v>0</v>
      </c>
      <c r="Q34" s="65">
        <v>30</v>
      </c>
      <c r="R34" s="66">
        <f>Inputs!H37</f>
        <v>7.4100000000000001E-4</v>
      </c>
    </row>
    <row r="35" spans="1:18" x14ac:dyDescent="0.25">
      <c r="C35" s="12"/>
      <c r="D35" s="10"/>
      <c r="E35" s="10"/>
      <c r="F35" s="10"/>
      <c r="G35" s="10"/>
      <c r="I35" s="13"/>
      <c r="J35" s="11"/>
      <c r="K35" s="11"/>
      <c r="Q35" s="65">
        <v>31</v>
      </c>
      <c r="R35" s="66">
        <f>Inputs!H38</f>
        <v>7.5100000000000004E-4</v>
      </c>
    </row>
    <row r="36" spans="1:18" x14ac:dyDescent="0.25">
      <c r="C36" s="12"/>
      <c r="D36" s="10"/>
      <c r="E36" s="10"/>
      <c r="F36" s="10"/>
      <c r="G36" s="10"/>
      <c r="I36" s="13"/>
      <c r="J36" s="11"/>
      <c r="K36" s="11"/>
      <c r="Q36" s="65">
        <v>32</v>
      </c>
      <c r="R36" s="66">
        <f>Inputs!H39</f>
        <v>7.54E-4</v>
      </c>
    </row>
    <row r="37" spans="1:18" x14ac:dyDescent="0.25">
      <c r="C37" s="12"/>
      <c r="D37" s="10"/>
      <c r="E37" s="10"/>
      <c r="F37" s="10"/>
      <c r="G37" s="10"/>
      <c r="I37" s="13"/>
      <c r="J37" s="11"/>
      <c r="K37" s="11"/>
      <c r="Q37" s="65">
        <v>33</v>
      </c>
      <c r="R37" s="66">
        <f>Inputs!H40</f>
        <v>7.5600000000000005E-4</v>
      </c>
    </row>
    <row r="38" spans="1:18" x14ac:dyDescent="0.25">
      <c r="C38" s="12"/>
      <c r="D38" s="10"/>
      <c r="E38" s="10"/>
      <c r="F38" s="10"/>
      <c r="G38" s="10"/>
      <c r="I38" s="13"/>
      <c r="J38" s="11"/>
      <c r="K38" s="11"/>
      <c r="Q38" s="65">
        <v>34</v>
      </c>
      <c r="R38" s="66">
        <f>Inputs!H41</f>
        <v>7.5600000000000005E-4</v>
      </c>
    </row>
    <row r="39" spans="1:18" x14ac:dyDescent="0.25">
      <c r="C39" s="12"/>
      <c r="D39" s="10"/>
      <c r="E39" s="10"/>
      <c r="F39" s="10"/>
      <c r="G39" s="10"/>
      <c r="I39" s="13"/>
      <c r="J39" s="11"/>
      <c r="K39" s="11"/>
      <c r="Q39" s="65">
        <v>35</v>
      </c>
      <c r="R39" s="66">
        <f>Inputs!H42</f>
        <v>7.5600000000000005E-4</v>
      </c>
    </row>
    <row r="40" spans="1:18" x14ac:dyDescent="0.25">
      <c r="C40" s="12"/>
      <c r="D40" s="10"/>
      <c r="E40" s="10"/>
      <c r="F40" s="10"/>
      <c r="G40" s="10"/>
      <c r="I40" s="13"/>
      <c r="J40" s="11"/>
      <c r="K40" s="11"/>
      <c r="Q40" s="65">
        <v>36</v>
      </c>
      <c r="R40" s="66">
        <f>Inputs!H43</f>
        <v>7.5600000000000005E-4</v>
      </c>
    </row>
    <row r="41" spans="1:18" x14ac:dyDescent="0.25">
      <c r="C41" s="12"/>
      <c r="D41" s="10"/>
      <c r="E41" s="10"/>
      <c r="F41" s="10"/>
      <c r="G41" s="10"/>
      <c r="I41" s="13"/>
      <c r="J41" s="11"/>
      <c r="K41" s="11"/>
      <c r="Q41" s="65">
        <v>37</v>
      </c>
      <c r="R41" s="66">
        <f>Inputs!H44</f>
        <v>7.5600000000000005E-4</v>
      </c>
    </row>
    <row r="42" spans="1:18" x14ac:dyDescent="0.25">
      <c r="C42" s="12"/>
      <c r="D42" s="10"/>
      <c r="E42" s="10"/>
      <c r="F42" s="10"/>
      <c r="G42" s="10"/>
      <c r="I42" s="13"/>
      <c r="J42" s="11"/>
      <c r="K42" s="11"/>
      <c r="Q42" s="65">
        <v>38</v>
      </c>
      <c r="R42" s="66">
        <f>Inputs!H45</f>
        <v>7.5600000000000005E-4</v>
      </c>
    </row>
    <row r="43" spans="1:18" x14ac:dyDescent="0.25">
      <c r="C43" s="12"/>
      <c r="D43" s="10"/>
      <c r="E43" s="10"/>
      <c r="F43" s="10"/>
      <c r="G43" s="10"/>
      <c r="I43" s="13"/>
      <c r="J43" s="11"/>
      <c r="K43" s="11"/>
      <c r="Q43" s="65">
        <v>39</v>
      </c>
      <c r="R43" s="66">
        <f>Inputs!H46</f>
        <v>8.0000000000000004E-4</v>
      </c>
    </row>
    <row r="44" spans="1:18" x14ac:dyDescent="0.25">
      <c r="C44" s="12"/>
      <c r="D44" s="10"/>
      <c r="E44" s="10"/>
      <c r="F44" s="10"/>
      <c r="G44" s="10"/>
      <c r="I44" s="13"/>
      <c r="J44" s="11"/>
      <c r="K44" s="11"/>
      <c r="Q44" s="65">
        <v>40</v>
      </c>
      <c r="R44" s="66">
        <f>Inputs!H47</f>
        <v>8.5899999999999995E-4</v>
      </c>
    </row>
    <row r="45" spans="1:18" x14ac:dyDescent="0.25">
      <c r="C45" s="12"/>
      <c r="D45" s="10"/>
      <c r="E45" s="10"/>
      <c r="F45" s="10"/>
      <c r="G45" s="10"/>
      <c r="I45" s="13"/>
      <c r="J45" s="11"/>
      <c r="K45" s="11"/>
      <c r="Q45" s="65">
        <v>41</v>
      </c>
      <c r="R45" s="66">
        <f>Inputs!H48</f>
        <v>9.2599999999999996E-4</v>
      </c>
    </row>
    <row r="46" spans="1:18" x14ac:dyDescent="0.25">
      <c r="C46" s="12"/>
      <c r="D46" s="10"/>
      <c r="E46" s="10"/>
      <c r="F46" s="10"/>
      <c r="G46" s="10"/>
      <c r="I46" s="13"/>
      <c r="J46" s="11"/>
      <c r="K46" s="11"/>
      <c r="Q46" s="65">
        <v>42</v>
      </c>
      <c r="R46" s="66">
        <f>Inputs!H49</f>
        <v>9.990000000000001E-4</v>
      </c>
    </row>
    <row r="47" spans="1:18" x14ac:dyDescent="0.25">
      <c r="C47" s="12"/>
      <c r="D47" s="10"/>
      <c r="E47" s="10"/>
      <c r="F47" s="10"/>
      <c r="G47" s="10"/>
      <c r="I47" s="13"/>
      <c r="J47" s="11"/>
      <c r="K47" s="11"/>
      <c r="Q47" s="65">
        <v>43</v>
      </c>
      <c r="R47" s="66">
        <f>Inputs!H50</f>
        <v>1.0690000000000001E-3</v>
      </c>
    </row>
    <row r="48" spans="1:18" x14ac:dyDescent="0.25">
      <c r="C48" s="12"/>
      <c r="D48" s="10"/>
      <c r="E48" s="10"/>
      <c r="F48" s="10"/>
      <c r="G48" s="10"/>
      <c r="I48" s="13"/>
      <c r="J48" s="11"/>
      <c r="K48" s="11"/>
      <c r="Q48" s="65">
        <v>44</v>
      </c>
      <c r="R48" s="66">
        <f>Inputs!H51</f>
        <v>1.142E-3</v>
      </c>
    </row>
    <row r="49" spans="3:18" x14ac:dyDescent="0.25">
      <c r="C49" s="12"/>
      <c r="D49" s="10"/>
      <c r="E49" s="10"/>
      <c r="F49" s="10"/>
      <c r="G49" s="10"/>
      <c r="I49" s="13"/>
      <c r="J49" s="11"/>
      <c r="K49" s="11"/>
      <c r="Q49" s="65">
        <v>45</v>
      </c>
      <c r="R49" s="66">
        <f>Inputs!H52</f>
        <v>1.219E-3</v>
      </c>
    </row>
    <row r="50" spans="3:18" x14ac:dyDescent="0.25">
      <c r="C50" s="12"/>
      <c r="D50" s="10"/>
      <c r="E50" s="10"/>
      <c r="F50" s="10"/>
      <c r="G50" s="10"/>
      <c r="I50" s="13"/>
      <c r="J50" s="11"/>
      <c r="K50" s="11"/>
      <c r="Q50" s="65">
        <v>46</v>
      </c>
      <c r="R50" s="66">
        <f>Inputs!H53</f>
        <v>1.3179999999999999E-3</v>
      </c>
    </row>
    <row r="51" spans="3:18" x14ac:dyDescent="0.25">
      <c r="C51" s="12"/>
      <c r="D51" s="10"/>
      <c r="E51" s="10"/>
      <c r="F51" s="10"/>
      <c r="G51" s="10"/>
      <c r="I51" s="13"/>
      <c r="J51" s="11"/>
      <c r="K51" s="11"/>
      <c r="Q51" s="65">
        <v>47</v>
      </c>
      <c r="R51" s="66">
        <f>Inputs!H54</f>
        <v>1.454E-3</v>
      </c>
    </row>
    <row r="52" spans="3:18" x14ac:dyDescent="0.25">
      <c r="C52" s="12"/>
      <c r="D52" s="10"/>
      <c r="E52" s="10"/>
      <c r="F52" s="10"/>
      <c r="G52" s="10"/>
      <c r="I52" s="13"/>
      <c r="J52" s="11"/>
      <c r="K52" s="11"/>
      <c r="Q52" s="65">
        <v>48</v>
      </c>
      <c r="R52" s="66">
        <f>Inputs!H55</f>
        <v>1.627E-3</v>
      </c>
    </row>
    <row r="53" spans="3:18" x14ac:dyDescent="0.25">
      <c r="C53" s="12"/>
      <c r="D53" s="10"/>
      <c r="E53" s="10"/>
      <c r="F53" s="10"/>
      <c r="G53" s="10"/>
      <c r="I53" s="13"/>
      <c r="J53" s="11"/>
      <c r="K53" s="11"/>
      <c r="Q53" s="65">
        <v>49</v>
      </c>
      <c r="R53" s="66">
        <f>Inputs!H56</f>
        <v>1.8289999999999999E-3</v>
      </c>
    </row>
    <row r="54" spans="3:18" x14ac:dyDescent="0.25">
      <c r="C54" s="12"/>
      <c r="D54" s="10"/>
      <c r="E54" s="10"/>
      <c r="F54" s="10"/>
      <c r="G54" s="10"/>
      <c r="I54" s="13"/>
      <c r="J54" s="11"/>
      <c r="K54" s="11"/>
      <c r="Q54" s="65">
        <v>50</v>
      </c>
      <c r="R54" s="66">
        <f>Inputs!H57</f>
        <v>2.0569999999999998E-3</v>
      </c>
    </row>
    <row r="55" spans="3:18" x14ac:dyDescent="0.25">
      <c r="C55" s="12"/>
      <c r="D55" s="10"/>
      <c r="E55" s="10"/>
      <c r="F55" s="10"/>
      <c r="G55" s="10"/>
      <c r="I55" s="13"/>
      <c r="J55" s="11"/>
      <c r="K55" s="11"/>
      <c r="Q55" s="65">
        <v>51</v>
      </c>
      <c r="R55" s="66">
        <f>Inputs!H58</f>
        <v>2.3019999999999998E-3</v>
      </c>
    </row>
    <row r="56" spans="3:18" x14ac:dyDescent="0.25">
      <c r="C56" s="12"/>
      <c r="D56" s="10"/>
      <c r="E56" s="10"/>
      <c r="F56" s="10"/>
      <c r="G56" s="10"/>
      <c r="I56" s="13"/>
      <c r="J56" s="11"/>
      <c r="K56" s="11"/>
      <c r="Q56" s="65">
        <v>52</v>
      </c>
      <c r="R56" s="66">
        <f>Inputs!H59</f>
        <v>2.545E-3</v>
      </c>
    </row>
    <row r="57" spans="3:18" x14ac:dyDescent="0.25">
      <c r="C57" s="12"/>
      <c r="D57" s="10"/>
      <c r="E57" s="10"/>
      <c r="F57" s="10"/>
      <c r="G57" s="10"/>
      <c r="I57" s="13"/>
      <c r="J57" s="11"/>
      <c r="K57" s="11"/>
      <c r="Q57" s="65">
        <v>53</v>
      </c>
      <c r="R57" s="66">
        <f>Inputs!H60</f>
        <v>2.7789999999999998E-3</v>
      </c>
    </row>
    <row r="58" spans="3:18" x14ac:dyDescent="0.25">
      <c r="C58" s="12"/>
      <c r="D58" s="10"/>
      <c r="E58" s="10"/>
      <c r="F58" s="10"/>
      <c r="G58" s="10"/>
      <c r="I58" s="13"/>
      <c r="J58" s="11"/>
      <c r="K58" s="11"/>
      <c r="Q58" s="65">
        <v>54</v>
      </c>
      <c r="R58" s="66">
        <f>Inputs!H61</f>
        <v>3.0109999999999998E-3</v>
      </c>
    </row>
    <row r="59" spans="3:18" x14ac:dyDescent="0.25">
      <c r="C59" s="12"/>
      <c r="D59" s="10"/>
      <c r="E59" s="10"/>
      <c r="F59" s="10"/>
      <c r="G59" s="10"/>
      <c r="I59" s="13"/>
      <c r="J59" s="11"/>
      <c r="K59" s="11"/>
      <c r="Q59" s="65">
        <v>55</v>
      </c>
      <c r="R59" s="66">
        <f>Inputs!H62</f>
        <v>3.2539999999999999E-3</v>
      </c>
    </row>
    <row r="60" spans="3:18" x14ac:dyDescent="0.25">
      <c r="C60" s="12"/>
      <c r="D60" s="10"/>
      <c r="E60" s="10"/>
      <c r="F60" s="10"/>
      <c r="G60" s="10"/>
      <c r="I60" s="13"/>
      <c r="J60" s="11"/>
      <c r="K60" s="11"/>
      <c r="Q60" s="65">
        <v>56</v>
      </c>
      <c r="R60" s="66">
        <f>Inputs!H63</f>
        <v>3.529E-3</v>
      </c>
    </row>
    <row r="61" spans="3:18" x14ac:dyDescent="0.25">
      <c r="C61" s="12"/>
      <c r="D61" s="10"/>
      <c r="E61" s="10"/>
      <c r="F61" s="10"/>
      <c r="G61" s="10"/>
      <c r="I61" s="13"/>
      <c r="J61" s="11"/>
      <c r="K61" s="11"/>
      <c r="Q61" s="65">
        <v>57</v>
      </c>
      <c r="R61" s="66">
        <f>Inputs!H64</f>
        <v>3.8449999999999999E-3</v>
      </c>
    </row>
    <row r="62" spans="3:18" x14ac:dyDescent="0.25">
      <c r="C62" s="12"/>
      <c r="D62" s="10"/>
      <c r="E62" s="10"/>
      <c r="F62" s="10"/>
      <c r="G62" s="10"/>
      <c r="I62" s="13"/>
      <c r="J62" s="11"/>
      <c r="K62" s="11"/>
      <c r="Q62" s="65">
        <v>58</v>
      </c>
      <c r="R62" s="66">
        <f>Inputs!H65</f>
        <v>4.2129999999999997E-3</v>
      </c>
    </row>
    <row r="63" spans="3:18" x14ac:dyDescent="0.25">
      <c r="C63" s="12"/>
      <c r="D63" s="10"/>
      <c r="E63" s="10"/>
      <c r="F63" s="10"/>
      <c r="G63" s="10"/>
      <c r="I63" s="13"/>
      <c r="J63" s="11"/>
      <c r="K63" s="11"/>
      <c r="Q63" s="65">
        <v>59</v>
      </c>
      <c r="R63" s="66">
        <f>Inputs!H66</f>
        <v>4.6309999999999997E-3</v>
      </c>
    </row>
    <row r="64" spans="3:18" x14ac:dyDescent="0.25">
      <c r="C64" s="12"/>
      <c r="D64" s="10"/>
      <c r="E64" s="10"/>
      <c r="F64" s="10"/>
      <c r="G64" s="10"/>
      <c r="I64" s="13"/>
      <c r="J64" s="11"/>
      <c r="K64" s="11"/>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c r="E125" s="35"/>
      <c r="F125" s="35"/>
    </row>
    <row r="126" spans="3:18" x14ac:dyDescent="0.25">
      <c r="C126" s="25"/>
      <c r="E126" s="35"/>
      <c r="F126" s="35"/>
    </row>
    <row r="127" spans="3:18" x14ac:dyDescent="0.25">
      <c r="C127" s="25"/>
      <c r="E127" s="35"/>
      <c r="F127" s="35"/>
    </row>
    <row r="128" spans="3:18" x14ac:dyDescent="0.25">
      <c r="C128" s="25"/>
      <c r="E128" s="35"/>
      <c r="F128" s="35"/>
    </row>
    <row r="129" spans="3:6" x14ac:dyDescent="0.25">
      <c r="C129" s="25"/>
      <c r="E129" s="35"/>
      <c r="F129" s="35"/>
    </row>
    <row r="130" spans="3:6" x14ac:dyDescent="0.25">
      <c r="C130" s="25"/>
      <c r="E130" s="35"/>
      <c r="F130" s="35"/>
    </row>
    <row r="131" spans="3:6" x14ac:dyDescent="0.25">
      <c r="C131" s="25"/>
      <c r="E131" s="35"/>
      <c r="F131" s="35"/>
    </row>
    <row r="132" spans="3:6" x14ac:dyDescent="0.25">
      <c r="C132" s="2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34">
    <cfRule type="cellIs" dxfId="6"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04"/>
  <sheetViews>
    <sheetView topLeftCell="A70" workbookViewId="0">
      <selection activeCell="C82" sqref="C82:E89"/>
    </sheetView>
  </sheetViews>
  <sheetFormatPr defaultRowHeight="15" x14ac:dyDescent="0.25"/>
  <cols>
    <col min="3" max="7" width="10" bestFit="1" customWidth="1"/>
    <col min="9" max="10" width="13.25" customWidth="1"/>
    <col min="11" max="11" width="11.75" customWidth="1"/>
    <col min="12" max="12" width="11.875" customWidth="1"/>
    <col min="13" max="13" width="11.625" bestFit="1" customWidth="1"/>
    <col min="14" max="15" width="11.625" customWidth="1"/>
  </cols>
  <sheetData>
    <row r="1" spans="2:16" x14ac:dyDescent="0.25">
      <c r="B1" t="s">
        <v>51</v>
      </c>
      <c r="I1" s="3">
        <v>5000</v>
      </c>
      <c r="J1" s="181" t="s">
        <v>173</v>
      </c>
      <c r="L1" s="1"/>
      <c r="M1" s="4"/>
      <c r="N1" s="4"/>
      <c r="O1" s="4"/>
    </row>
    <row r="2" spans="2:16" ht="15" customHeight="1" x14ac:dyDescent="0.25">
      <c r="F2" s="5">
        <f>'Asset and Liability Durations'!I9</f>
        <v>0.04</v>
      </c>
      <c r="J2" s="166" t="s">
        <v>174</v>
      </c>
      <c r="L2" s="6"/>
      <c r="M2" s="4"/>
      <c r="N2" s="4"/>
      <c r="O2" s="4"/>
    </row>
    <row r="3" spans="2:16" ht="45" x14ac:dyDescent="0.25">
      <c r="B3" s="7" t="s">
        <v>7</v>
      </c>
      <c r="C3" s="8" t="s">
        <v>8</v>
      </c>
      <c r="D3" s="7" t="s">
        <v>9</v>
      </c>
      <c r="E3" s="7" t="s">
        <v>10</v>
      </c>
      <c r="F3" s="7" t="s">
        <v>11</v>
      </c>
      <c r="G3" s="7" t="s">
        <v>12</v>
      </c>
      <c r="I3" s="7" t="s">
        <v>13</v>
      </c>
      <c r="J3" s="7" t="s">
        <v>14</v>
      </c>
      <c r="L3" s="7" t="s">
        <v>15</v>
      </c>
      <c r="M3" s="9">
        <f>+SUMPRODUCT(B5:B59,I5:I59,F5:F59)/SUMPRODUCT(F5:F59,I5:I59)</f>
        <v>2.9216108133707608</v>
      </c>
      <c r="N3" s="10"/>
      <c r="O3" s="10"/>
    </row>
    <row r="4" spans="2:16" x14ac:dyDescent="0.25">
      <c r="B4">
        <v>0</v>
      </c>
      <c r="C4" s="8"/>
      <c r="D4" s="7"/>
      <c r="E4" s="7"/>
      <c r="F4" s="7"/>
      <c r="G4" s="10">
        <v>1</v>
      </c>
      <c r="J4" s="11">
        <f>(SUM(G5:$G$79)*$I$1)</f>
        <v>22259.111655081022</v>
      </c>
    </row>
    <row r="5" spans="2:16" ht="15.75" thickBot="1" x14ac:dyDescent="0.3">
      <c r="B5">
        <v>1</v>
      </c>
      <c r="C5" s="12">
        <v>0</v>
      </c>
      <c r="D5" s="10">
        <f>1-C5</f>
        <v>1</v>
      </c>
      <c r="E5" s="10">
        <f>D5</f>
        <v>1</v>
      </c>
      <c r="F5" s="10">
        <f t="shared" ref="F5:F59" si="0">IF(D5=0,0,(1+$F$2)^-B5)</f>
        <v>0.96153846153846145</v>
      </c>
      <c r="G5" s="10">
        <f>F5*E5</f>
        <v>0.96153846153846145</v>
      </c>
      <c r="I5" s="13">
        <f t="shared" ref="I5:I68" si="1">E5*$I$1</f>
        <v>5000</v>
      </c>
      <c r="J5" s="11">
        <f>(SUM(G6:$G$79)*$I$1)</f>
        <v>17451.419347388717</v>
      </c>
      <c r="K5" s="11">
        <f>J5-J4</f>
        <v>-4807.6923076923049</v>
      </c>
      <c r="L5" s="14" t="s">
        <v>16</v>
      </c>
      <c r="M5" s="14" t="s">
        <v>17</v>
      </c>
      <c r="N5" s="14" t="s">
        <v>18</v>
      </c>
      <c r="O5" s="14" t="s">
        <v>47</v>
      </c>
    </row>
    <row r="6" spans="2:16" x14ac:dyDescent="0.25">
      <c r="B6">
        <v>2</v>
      </c>
      <c r="C6" s="12">
        <v>0</v>
      </c>
      <c r="D6" s="10">
        <f t="shared" ref="D6:D69" si="2">1-C6</f>
        <v>1</v>
      </c>
      <c r="E6" s="10">
        <f>E5*D6</f>
        <v>1</v>
      </c>
      <c r="F6" s="10">
        <f t="shared" si="0"/>
        <v>0.92455621301775137</v>
      </c>
      <c r="G6" s="10">
        <f t="shared" ref="G6:G69" si="3">F6*E6</f>
        <v>0.92455621301775137</v>
      </c>
      <c r="I6" s="13">
        <f t="shared" si="1"/>
        <v>5000</v>
      </c>
      <c r="J6" s="11">
        <f>(SUM(G7:$G$79)*$I$1)</f>
        <v>12828.63828229996</v>
      </c>
      <c r="K6" s="11">
        <f t="shared" ref="K6:K69" si="4">J6-J5</f>
        <v>-4622.7810650887568</v>
      </c>
      <c r="L6" s="14">
        <v>2</v>
      </c>
      <c r="M6" s="54" t="s">
        <v>44</v>
      </c>
      <c r="N6" s="15">
        <f>SUM(I5:I7)</f>
        <v>15000</v>
      </c>
      <c r="O6" s="16">
        <f>N6/SUM($N$6:$N$9)</f>
        <v>0.6</v>
      </c>
    </row>
    <row r="7" spans="2:16" x14ac:dyDescent="0.25">
      <c r="B7">
        <v>3</v>
      </c>
      <c r="C7" s="12">
        <v>0</v>
      </c>
      <c r="D7" s="10">
        <f t="shared" si="2"/>
        <v>1</v>
      </c>
      <c r="E7" s="10">
        <f t="shared" ref="E7:E70" si="5">E6*D7</f>
        <v>1</v>
      </c>
      <c r="F7" s="10">
        <f t="shared" si="0"/>
        <v>0.88899635867091487</v>
      </c>
      <c r="G7" s="10">
        <f t="shared" si="3"/>
        <v>0.88899635867091487</v>
      </c>
      <c r="I7" s="13">
        <f t="shared" si="1"/>
        <v>5000</v>
      </c>
      <c r="J7" s="11">
        <f>(SUM(G8:$G$79)*$I$1)</f>
        <v>8383.6564889453857</v>
      </c>
      <c r="K7" s="11">
        <f t="shared" si="4"/>
        <v>-4444.9817933545746</v>
      </c>
      <c r="L7" s="14">
        <v>5</v>
      </c>
      <c r="M7" s="19" t="s">
        <v>45</v>
      </c>
      <c r="N7" s="17">
        <f>SUM(I8:I11)</f>
        <v>10000</v>
      </c>
      <c r="O7" s="18">
        <f>N7/SUM($N$6:$N$9)</f>
        <v>0.4</v>
      </c>
    </row>
    <row r="8" spans="2:16" x14ac:dyDescent="0.25">
      <c r="B8">
        <v>4</v>
      </c>
      <c r="C8" s="12">
        <v>0</v>
      </c>
      <c r="D8" s="10">
        <f t="shared" si="2"/>
        <v>1</v>
      </c>
      <c r="E8" s="10">
        <f t="shared" si="5"/>
        <v>1</v>
      </c>
      <c r="F8" s="10">
        <f t="shared" si="0"/>
        <v>0.85480419102972571</v>
      </c>
      <c r="G8" s="10">
        <f t="shared" si="3"/>
        <v>0.85480419102972571</v>
      </c>
      <c r="I8" s="13">
        <f t="shared" si="1"/>
        <v>5000</v>
      </c>
      <c r="J8" s="11">
        <f>(SUM(G9:$G$79)*$I$1)</f>
        <v>4109.635533796758</v>
      </c>
      <c r="K8" s="11">
        <f t="shared" si="4"/>
        <v>-4274.0209551486278</v>
      </c>
      <c r="L8" s="14">
        <v>10</v>
      </c>
      <c r="M8" s="19" t="s">
        <v>46</v>
      </c>
      <c r="N8" s="17">
        <f>SUM(I12:I19)</f>
        <v>0</v>
      </c>
      <c r="O8" s="18">
        <f>N8/SUM($N$6:$N$9)</f>
        <v>0</v>
      </c>
    </row>
    <row r="9" spans="2:16" ht="15.75" thickBot="1" x14ac:dyDescent="0.3">
      <c r="B9">
        <v>5</v>
      </c>
      <c r="C9" s="12">
        <v>0</v>
      </c>
      <c r="D9" s="10">
        <f t="shared" si="2"/>
        <v>1</v>
      </c>
      <c r="E9" s="10">
        <f t="shared" si="5"/>
        <v>1</v>
      </c>
      <c r="F9" s="10">
        <f t="shared" si="0"/>
        <v>0.82192710675935154</v>
      </c>
      <c r="G9" s="10">
        <f t="shared" si="3"/>
        <v>0.82192710675935154</v>
      </c>
      <c r="I9" s="13">
        <f t="shared" si="1"/>
        <v>5000</v>
      </c>
      <c r="J9" s="11">
        <f>(SUM(G10:$G$79)*$I$1)</f>
        <v>0</v>
      </c>
      <c r="K9" s="11">
        <f t="shared" si="4"/>
        <v>-4109.635533796758</v>
      </c>
      <c r="L9" s="14">
        <v>30</v>
      </c>
      <c r="M9" s="20" t="s">
        <v>48</v>
      </c>
      <c r="N9" s="21">
        <f>SUM(I20:I70)</f>
        <v>0</v>
      </c>
      <c r="O9" s="22">
        <f>N9/SUM($N$6:$N$9)</f>
        <v>0</v>
      </c>
    </row>
    <row r="10" spans="2:16" x14ac:dyDescent="0.25">
      <c r="B10">
        <v>6</v>
      </c>
      <c r="C10" s="12">
        <v>1</v>
      </c>
      <c r="D10" s="10">
        <f t="shared" si="2"/>
        <v>0</v>
      </c>
      <c r="E10" s="10">
        <f t="shared" si="5"/>
        <v>0</v>
      </c>
      <c r="F10" s="10">
        <f t="shared" si="0"/>
        <v>0</v>
      </c>
      <c r="G10" s="10">
        <f t="shared" si="3"/>
        <v>0</v>
      </c>
      <c r="I10" s="13">
        <f t="shared" si="1"/>
        <v>0</v>
      </c>
      <c r="J10" s="11">
        <f>(SUM(G11:$G$79)*$I$1)</f>
        <v>0</v>
      </c>
      <c r="K10" s="11">
        <f t="shared" si="4"/>
        <v>0</v>
      </c>
      <c r="L10" s="53">
        <f>+SUMPRODUCT(L6:L9,O6:O9)</f>
        <v>3.2</v>
      </c>
      <c r="O10" s="23">
        <f>SUM(O6:O9)</f>
        <v>1</v>
      </c>
    </row>
    <row r="11" spans="2:16" x14ac:dyDescent="0.25">
      <c r="B11">
        <v>7</v>
      </c>
      <c r="C11" s="12">
        <v>1</v>
      </c>
      <c r="D11" s="10">
        <f t="shared" si="2"/>
        <v>0</v>
      </c>
      <c r="E11" s="10">
        <f t="shared" si="5"/>
        <v>0</v>
      </c>
      <c r="F11" s="10">
        <f t="shared" si="0"/>
        <v>0</v>
      </c>
      <c r="G11" s="10">
        <f t="shared" si="3"/>
        <v>0</v>
      </c>
      <c r="I11" s="13">
        <f t="shared" si="1"/>
        <v>0</v>
      </c>
      <c r="J11" s="11">
        <f>(SUM(G12:$G$79)*$I$1)</f>
        <v>0</v>
      </c>
      <c r="K11" s="11">
        <f t="shared" si="4"/>
        <v>0</v>
      </c>
    </row>
    <row r="12" spans="2:16" x14ac:dyDescent="0.25">
      <c r="B12">
        <v>8</v>
      </c>
      <c r="C12" s="12">
        <v>1</v>
      </c>
      <c r="D12" s="10">
        <f t="shared" si="2"/>
        <v>0</v>
      </c>
      <c r="E12" s="10">
        <f t="shared" si="5"/>
        <v>0</v>
      </c>
      <c r="F12" s="10">
        <f t="shared" si="0"/>
        <v>0</v>
      </c>
      <c r="G12" s="10">
        <f t="shared" si="3"/>
        <v>0</v>
      </c>
      <c r="I12" s="13">
        <f t="shared" si="1"/>
        <v>0</v>
      </c>
      <c r="J12" s="11">
        <f>(SUM(G13:$G$79)*$I$1)</f>
        <v>0</v>
      </c>
      <c r="K12" s="11">
        <f t="shared" si="4"/>
        <v>0</v>
      </c>
    </row>
    <row r="13" spans="2:16" x14ac:dyDescent="0.25">
      <c r="B13">
        <v>9</v>
      </c>
      <c r="C13" s="12">
        <v>1</v>
      </c>
      <c r="D13" s="10">
        <f t="shared" si="2"/>
        <v>0</v>
      </c>
      <c r="E13" s="10">
        <f t="shared" si="5"/>
        <v>0</v>
      </c>
      <c r="F13" s="10">
        <f t="shared" si="0"/>
        <v>0</v>
      </c>
      <c r="G13" s="10">
        <f t="shared" si="3"/>
        <v>0</v>
      </c>
      <c r="I13" s="13">
        <f t="shared" si="1"/>
        <v>0</v>
      </c>
      <c r="J13" s="11">
        <f>(SUM(G14:$G$79)*$I$1)</f>
        <v>0</v>
      </c>
      <c r="K13" s="11">
        <f t="shared" si="4"/>
        <v>0</v>
      </c>
    </row>
    <row r="14" spans="2:16" x14ac:dyDescent="0.25">
      <c r="B14">
        <v>10</v>
      </c>
      <c r="C14" s="12">
        <v>1</v>
      </c>
      <c r="D14" s="10">
        <f t="shared" si="2"/>
        <v>0</v>
      </c>
      <c r="E14" s="10">
        <f t="shared" si="5"/>
        <v>0</v>
      </c>
      <c r="F14" s="10">
        <f t="shared" si="0"/>
        <v>0</v>
      </c>
      <c r="G14" s="10">
        <f t="shared" si="3"/>
        <v>0</v>
      </c>
      <c r="I14" s="13">
        <f>E14*$I$1</f>
        <v>0</v>
      </c>
      <c r="J14" s="11">
        <f>(SUM(G15:$G$79)*$I$1)</f>
        <v>0</v>
      </c>
      <c r="K14" s="11">
        <f t="shared" si="4"/>
        <v>0</v>
      </c>
    </row>
    <row r="15" spans="2:16" x14ac:dyDescent="0.25">
      <c r="B15">
        <v>11</v>
      </c>
      <c r="C15" s="12">
        <v>1</v>
      </c>
      <c r="D15" s="10">
        <f t="shared" si="2"/>
        <v>0</v>
      </c>
      <c r="E15" s="10">
        <f t="shared" si="5"/>
        <v>0</v>
      </c>
      <c r="F15" s="10">
        <f t="shared" si="0"/>
        <v>0</v>
      </c>
      <c r="G15" s="10">
        <f t="shared" si="3"/>
        <v>0</v>
      </c>
      <c r="I15" s="13">
        <f t="shared" si="1"/>
        <v>0</v>
      </c>
      <c r="J15" s="11">
        <f>(SUM(G16:$G$79)*$I$1)</f>
        <v>0</v>
      </c>
      <c r="K15" s="11">
        <f t="shared" si="4"/>
        <v>0</v>
      </c>
      <c r="M15" s="24"/>
      <c r="N15" s="24"/>
      <c r="O15" s="24"/>
      <c r="P15" s="24"/>
    </row>
    <row r="16" spans="2:16" x14ac:dyDescent="0.25">
      <c r="B16">
        <v>12</v>
      </c>
      <c r="C16" s="12">
        <v>0</v>
      </c>
      <c r="D16" s="10">
        <f t="shared" si="2"/>
        <v>1</v>
      </c>
      <c r="E16" s="10">
        <f t="shared" si="5"/>
        <v>0</v>
      </c>
      <c r="F16" s="10">
        <f t="shared" si="0"/>
        <v>0.62459704958006512</v>
      </c>
      <c r="G16" s="10">
        <f t="shared" si="3"/>
        <v>0</v>
      </c>
      <c r="I16" s="13">
        <f t="shared" si="1"/>
        <v>0</v>
      </c>
      <c r="J16" s="11">
        <f>(SUM(G17:$G$79)*$I$1)</f>
        <v>0</v>
      </c>
      <c r="K16" s="11">
        <f t="shared" si="4"/>
        <v>0</v>
      </c>
      <c r="M16" s="24"/>
      <c r="N16" s="24"/>
      <c r="O16" s="24"/>
      <c r="P16" s="24"/>
    </row>
    <row r="17" spans="2:16" x14ac:dyDescent="0.25">
      <c r="B17">
        <v>13</v>
      </c>
      <c r="C17" s="12">
        <v>0</v>
      </c>
      <c r="D17" s="10">
        <f t="shared" si="2"/>
        <v>1</v>
      </c>
      <c r="E17" s="10">
        <f t="shared" si="5"/>
        <v>0</v>
      </c>
      <c r="F17" s="10">
        <f t="shared" si="0"/>
        <v>0.600574086134678</v>
      </c>
      <c r="G17" s="10">
        <f t="shared" si="3"/>
        <v>0</v>
      </c>
      <c r="I17" s="13">
        <f t="shared" si="1"/>
        <v>0</v>
      </c>
      <c r="J17" s="11">
        <f>(SUM(G18:$G$79)*$I$1)</f>
        <v>0</v>
      </c>
      <c r="K17" s="11">
        <f t="shared" si="4"/>
        <v>0</v>
      </c>
      <c r="M17" s="24"/>
      <c r="N17" s="24"/>
      <c r="O17" s="24"/>
      <c r="P17" s="24"/>
    </row>
    <row r="18" spans="2:16" x14ac:dyDescent="0.25">
      <c r="B18">
        <v>14</v>
      </c>
      <c r="C18" s="12">
        <v>0</v>
      </c>
      <c r="D18" s="10">
        <f t="shared" si="2"/>
        <v>1</v>
      </c>
      <c r="E18" s="10">
        <f t="shared" si="5"/>
        <v>0</v>
      </c>
      <c r="F18" s="10">
        <f t="shared" si="0"/>
        <v>0.57747508282180582</v>
      </c>
      <c r="G18" s="10">
        <f t="shared" si="3"/>
        <v>0</v>
      </c>
      <c r="I18" s="13">
        <f t="shared" si="1"/>
        <v>0</v>
      </c>
      <c r="J18" s="11">
        <f>(SUM(G19:$G$79)*$I$1)</f>
        <v>0</v>
      </c>
      <c r="K18" s="11">
        <f t="shared" si="4"/>
        <v>0</v>
      </c>
      <c r="M18" s="24"/>
      <c r="N18" s="24"/>
      <c r="O18" s="24"/>
      <c r="P18" s="24"/>
    </row>
    <row r="19" spans="2:16" x14ac:dyDescent="0.25">
      <c r="B19">
        <v>15</v>
      </c>
      <c r="C19" s="12">
        <v>0</v>
      </c>
      <c r="D19" s="10">
        <f t="shared" si="2"/>
        <v>1</v>
      </c>
      <c r="E19" s="10">
        <f t="shared" si="5"/>
        <v>0</v>
      </c>
      <c r="F19" s="10">
        <f t="shared" si="0"/>
        <v>0.55526450271327477</v>
      </c>
      <c r="G19" s="10">
        <f t="shared" si="3"/>
        <v>0</v>
      </c>
      <c r="I19" s="13">
        <f t="shared" si="1"/>
        <v>0</v>
      </c>
      <c r="J19" s="11">
        <f>(SUM(G20:$G$79)*$I$1)</f>
        <v>0</v>
      </c>
      <c r="K19" s="11">
        <f t="shared" si="4"/>
        <v>0</v>
      </c>
      <c r="M19" s="24"/>
      <c r="N19" s="24"/>
      <c r="O19" s="24"/>
      <c r="P19" s="24"/>
    </row>
    <row r="20" spans="2:16" x14ac:dyDescent="0.25">
      <c r="B20">
        <v>16</v>
      </c>
      <c r="C20" s="12">
        <v>0</v>
      </c>
      <c r="D20" s="10">
        <f t="shared" si="2"/>
        <v>1</v>
      </c>
      <c r="E20" s="10">
        <f t="shared" si="5"/>
        <v>0</v>
      </c>
      <c r="F20" s="10">
        <f t="shared" si="0"/>
        <v>0.53390817568584104</v>
      </c>
      <c r="G20" s="10">
        <f t="shared" si="3"/>
        <v>0</v>
      </c>
      <c r="I20" s="13">
        <f t="shared" si="1"/>
        <v>0</v>
      </c>
      <c r="J20" s="11">
        <f>(SUM(G21:$G$79)*$I$1)</f>
        <v>0</v>
      </c>
      <c r="K20" s="11">
        <f t="shared" si="4"/>
        <v>0</v>
      </c>
      <c r="M20" s="24"/>
      <c r="N20" s="24"/>
      <c r="O20" s="24"/>
      <c r="P20" s="24"/>
    </row>
    <row r="21" spans="2:16" x14ac:dyDescent="0.25">
      <c r="B21">
        <v>17</v>
      </c>
      <c r="C21" s="12">
        <v>0</v>
      </c>
      <c r="D21" s="10">
        <f t="shared" si="2"/>
        <v>1</v>
      </c>
      <c r="E21" s="10">
        <f t="shared" si="5"/>
        <v>0</v>
      </c>
      <c r="F21" s="10">
        <f t="shared" si="0"/>
        <v>0.51337324585177024</v>
      </c>
      <c r="G21" s="10">
        <f t="shared" si="3"/>
        <v>0</v>
      </c>
      <c r="I21" s="13">
        <f t="shared" si="1"/>
        <v>0</v>
      </c>
      <c r="J21" s="11">
        <f>(SUM(G22:$G$79)*$I$1)</f>
        <v>0</v>
      </c>
      <c r="K21" s="11">
        <f t="shared" si="4"/>
        <v>0</v>
      </c>
      <c r="M21" s="24"/>
      <c r="N21" s="24"/>
      <c r="O21" s="24"/>
      <c r="P21" s="24"/>
    </row>
    <row r="22" spans="2:16" x14ac:dyDescent="0.25">
      <c r="B22">
        <v>18</v>
      </c>
      <c r="C22" s="12">
        <v>0</v>
      </c>
      <c r="D22" s="10">
        <f t="shared" si="2"/>
        <v>1</v>
      </c>
      <c r="E22" s="10">
        <f t="shared" si="5"/>
        <v>0</v>
      </c>
      <c r="F22" s="10">
        <f t="shared" si="0"/>
        <v>0.49362812101131748</v>
      </c>
      <c r="G22" s="10">
        <f t="shared" si="3"/>
        <v>0</v>
      </c>
      <c r="I22" s="13">
        <f t="shared" si="1"/>
        <v>0</v>
      </c>
      <c r="J22" s="11">
        <f>(SUM(G23:$G$79)*$I$1)</f>
        <v>0</v>
      </c>
      <c r="K22" s="11">
        <f t="shared" si="4"/>
        <v>0</v>
      </c>
      <c r="M22" s="24"/>
      <c r="N22" s="24"/>
      <c r="O22" s="24"/>
      <c r="P22" s="24"/>
    </row>
    <row r="23" spans="2:16" x14ac:dyDescent="0.25">
      <c r="B23">
        <v>19</v>
      </c>
      <c r="C23" s="12">
        <v>0</v>
      </c>
      <c r="D23" s="10">
        <f t="shared" si="2"/>
        <v>1</v>
      </c>
      <c r="E23" s="10">
        <f t="shared" si="5"/>
        <v>0</v>
      </c>
      <c r="F23" s="10">
        <f t="shared" si="0"/>
        <v>0.47464242404934376</v>
      </c>
      <c r="G23" s="10">
        <f t="shared" si="3"/>
        <v>0</v>
      </c>
      <c r="I23" s="13">
        <f t="shared" si="1"/>
        <v>0</v>
      </c>
      <c r="J23" s="11">
        <f>(SUM(G24:$G$79)*$I$1)</f>
        <v>0</v>
      </c>
      <c r="K23" s="11">
        <f t="shared" si="4"/>
        <v>0</v>
      </c>
      <c r="M23" s="24"/>
      <c r="N23" s="24"/>
      <c r="O23" s="24"/>
      <c r="P23" s="24"/>
    </row>
    <row r="24" spans="2:16" x14ac:dyDescent="0.25">
      <c r="B24">
        <v>20</v>
      </c>
      <c r="C24" s="12">
        <v>0</v>
      </c>
      <c r="D24" s="10">
        <f t="shared" si="2"/>
        <v>1</v>
      </c>
      <c r="E24" s="10">
        <f t="shared" si="5"/>
        <v>0</v>
      </c>
      <c r="F24" s="10">
        <f t="shared" si="0"/>
        <v>0.45638694620129205</v>
      </c>
      <c r="G24" s="10">
        <f t="shared" si="3"/>
        <v>0</v>
      </c>
      <c r="I24" s="13">
        <f t="shared" si="1"/>
        <v>0</v>
      </c>
      <c r="J24" s="11">
        <f>(SUM(G25:$G$79)*$I$1)</f>
        <v>0</v>
      </c>
      <c r="K24" s="11">
        <f t="shared" si="4"/>
        <v>0</v>
      </c>
      <c r="M24" s="24"/>
      <c r="N24" s="24"/>
      <c r="O24" s="24"/>
      <c r="P24" s="24"/>
    </row>
    <row r="25" spans="2:16" x14ac:dyDescent="0.25">
      <c r="B25">
        <v>21</v>
      </c>
      <c r="C25" s="12">
        <v>0</v>
      </c>
      <c r="D25" s="10">
        <f t="shared" si="2"/>
        <v>1</v>
      </c>
      <c r="E25" s="10">
        <f t="shared" si="5"/>
        <v>0</v>
      </c>
      <c r="F25" s="10">
        <f t="shared" si="0"/>
        <v>0.43883360211662686</v>
      </c>
      <c r="G25" s="10">
        <f t="shared" si="3"/>
        <v>0</v>
      </c>
      <c r="I25" s="13">
        <f t="shared" si="1"/>
        <v>0</v>
      </c>
      <c r="J25" s="11">
        <f>(SUM(G26:$G$79)*$I$1)</f>
        <v>0</v>
      </c>
      <c r="K25" s="11">
        <f t="shared" si="4"/>
        <v>0</v>
      </c>
      <c r="M25" s="24"/>
      <c r="N25" s="24"/>
      <c r="O25" s="24"/>
      <c r="P25" s="24"/>
    </row>
    <row r="26" spans="2:16" x14ac:dyDescent="0.25">
      <c r="B26">
        <v>22</v>
      </c>
      <c r="C26" s="12">
        <v>0</v>
      </c>
      <c r="D26" s="10">
        <f t="shared" si="2"/>
        <v>1</v>
      </c>
      <c r="E26" s="10">
        <f t="shared" si="5"/>
        <v>0</v>
      </c>
      <c r="F26" s="10">
        <f t="shared" si="0"/>
        <v>0.42195538665060278</v>
      </c>
      <c r="G26" s="10">
        <f t="shared" si="3"/>
        <v>0</v>
      </c>
      <c r="I26" s="13">
        <f t="shared" si="1"/>
        <v>0</v>
      </c>
      <c r="J26" s="11">
        <f>(SUM(G27:$G$79)*$I$1)</f>
        <v>0</v>
      </c>
      <c r="K26" s="11">
        <f t="shared" si="4"/>
        <v>0</v>
      </c>
      <c r="M26" s="24"/>
      <c r="N26" s="24"/>
      <c r="O26" s="24"/>
      <c r="P26" s="24"/>
    </row>
    <row r="27" spans="2:16" x14ac:dyDescent="0.25">
      <c r="B27">
        <v>23</v>
      </c>
      <c r="C27" s="12">
        <v>0</v>
      </c>
      <c r="D27" s="10">
        <f t="shared" si="2"/>
        <v>1</v>
      </c>
      <c r="E27" s="10">
        <f t="shared" si="5"/>
        <v>0</v>
      </c>
      <c r="F27" s="10">
        <f t="shared" si="0"/>
        <v>0.40572633331788732</v>
      </c>
      <c r="G27" s="10">
        <f t="shared" si="3"/>
        <v>0</v>
      </c>
      <c r="I27" s="13">
        <f t="shared" si="1"/>
        <v>0</v>
      </c>
      <c r="J27" s="11">
        <f>(SUM(G28:$G$79)*$I$1)</f>
        <v>0</v>
      </c>
      <c r="K27" s="11">
        <f t="shared" si="4"/>
        <v>0</v>
      </c>
      <c r="M27" s="24"/>
      <c r="N27" s="24"/>
      <c r="O27" s="24"/>
      <c r="P27" s="24"/>
    </row>
    <row r="28" spans="2:16" x14ac:dyDescent="0.25">
      <c r="B28">
        <v>24</v>
      </c>
      <c r="C28" s="12">
        <v>0</v>
      </c>
      <c r="D28" s="10">
        <f t="shared" si="2"/>
        <v>1</v>
      </c>
      <c r="E28" s="10">
        <f t="shared" si="5"/>
        <v>0</v>
      </c>
      <c r="F28" s="10">
        <f t="shared" si="0"/>
        <v>0.39012147434412242</v>
      </c>
      <c r="G28" s="10">
        <f t="shared" si="3"/>
        <v>0</v>
      </c>
      <c r="I28" s="13">
        <f t="shared" si="1"/>
        <v>0</v>
      </c>
      <c r="J28" s="11">
        <f>(SUM(G29:$G$79)*$I$1)</f>
        <v>0</v>
      </c>
      <c r="K28" s="11">
        <f t="shared" si="4"/>
        <v>0</v>
      </c>
      <c r="M28" s="24"/>
      <c r="N28" s="24"/>
      <c r="O28" s="24"/>
      <c r="P28" s="24"/>
    </row>
    <row r="29" spans="2:16" x14ac:dyDescent="0.25">
      <c r="B29">
        <v>25</v>
      </c>
      <c r="C29" s="12">
        <v>0</v>
      </c>
      <c r="D29" s="10">
        <f t="shared" si="2"/>
        <v>1</v>
      </c>
      <c r="E29" s="10">
        <f t="shared" si="5"/>
        <v>0</v>
      </c>
      <c r="F29" s="10">
        <f t="shared" si="0"/>
        <v>0.37511680225396377</v>
      </c>
      <c r="G29" s="10">
        <f t="shared" si="3"/>
        <v>0</v>
      </c>
      <c r="I29" s="13">
        <f t="shared" si="1"/>
        <v>0</v>
      </c>
      <c r="J29" s="11">
        <f>(SUM(G30:$G$79)*$I$1)</f>
        <v>0</v>
      </c>
      <c r="K29" s="11">
        <f t="shared" si="4"/>
        <v>0</v>
      </c>
      <c r="M29" s="24"/>
      <c r="N29" s="24"/>
      <c r="O29" s="24"/>
      <c r="P29" s="24"/>
    </row>
    <row r="30" spans="2:16" x14ac:dyDescent="0.25">
      <c r="B30">
        <v>26</v>
      </c>
      <c r="C30" s="12">
        <v>0</v>
      </c>
      <c r="D30" s="10">
        <f t="shared" si="2"/>
        <v>1</v>
      </c>
      <c r="E30" s="10">
        <f t="shared" si="5"/>
        <v>0</v>
      </c>
      <c r="F30" s="10">
        <f t="shared" si="0"/>
        <v>0.36068923293650368</v>
      </c>
      <c r="G30" s="10">
        <f t="shared" si="3"/>
        <v>0</v>
      </c>
      <c r="I30" s="13">
        <f t="shared" si="1"/>
        <v>0</v>
      </c>
      <c r="J30" s="11">
        <f>(SUM(G31:$G$79)*$I$1)</f>
        <v>0</v>
      </c>
      <c r="K30" s="11">
        <f t="shared" si="4"/>
        <v>0</v>
      </c>
      <c r="M30" s="24"/>
      <c r="N30" s="24"/>
      <c r="O30" s="24"/>
      <c r="P30" s="24"/>
    </row>
    <row r="31" spans="2:16" x14ac:dyDescent="0.25">
      <c r="B31">
        <v>27</v>
      </c>
      <c r="C31" s="12">
        <v>0</v>
      </c>
      <c r="D31" s="10">
        <f t="shared" si="2"/>
        <v>1</v>
      </c>
      <c r="E31" s="10">
        <f t="shared" si="5"/>
        <v>0</v>
      </c>
      <c r="F31" s="10">
        <f t="shared" si="0"/>
        <v>0.3468165701312535</v>
      </c>
      <c r="G31" s="10">
        <f t="shared" si="3"/>
        <v>0</v>
      </c>
      <c r="I31" s="13">
        <f t="shared" si="1"/>
        <v>0</v>
      </c>
      <c r="J31" s="11">
        <f>(SUM(G32:$G$79)*$I$1)</f>
        <v>0</v>
      </c>
      <c r="K31" s="11">
        <f t="shared" si="4"/>
        <v>0</v>
      </c>
      <c r="M31" s="24"/>
      <c r="N31" s="24"/>
      <c r="O31" s="24"/>
      <c r="P31" s="24"/>
    </row>
    <row r="32" spans="2:16" x14ac:dyDescent="0.25">
      <c r="B32">
        <v>28</v>
      </c>
      <c r="C32" s="12">
        <v>0</v>
      </c>
      <c r="D32" s="10">
        <f t="shared" si="2"/>
        <v>1</v>
      </c>
      <c r="E32" s="10">
        <f t="shared" si="5"/>
        <v>0</v>
      </c>
      <c r="F32" s="10">
        <f t="shared" si="0"/>
        <v>0.3334774712800514</v>
      </c>
      <c r="G32" s="10">
        <f t="shared" si="3"/>
        <v>0</v>
      </c>
      <c r="I32" s="13">
        <f t="shared" si="1"/>
        <v>0</v>
      </c>
      <c r="J32" s="11">
        <f>(SUM(G33:$G$79)*$I$1)</f>
        <v>0</v>
      </c>
      <c r="K32" s="11">
        <f t="shared" si="4"/>
        <v>0</v>
      </c>
      <c r="M32" s="24"/>
      <c r="N32" s="24"/>
      <c r="O32" s="24"/>
      <c r="P32" s="24"/>
    </row>
    <row r="33" spans="2:16" x14ac:dyDescent="0.25">
      <c r="B33">
        <v>29</v>
      </c>
      <c r="C33" s="12">
        <v>0</v>
      </c>
      <c r="D33" s="10">
        <f t="shared" si="2"/>
        <v>1</v>
      </c>
      <c r="E33" s="10">
        <f t="shared" si="5"/>
        <v>0</v>
      </c>
      <c r="F33" s="10">
        <f t="shared" si="0"/>
        <v>0.32065141469235708</v>
      </c>
      <c r="G33" s="10">
        <f t="shared" si="3"/>
        <v>0</v>
      </c>
      <c r="I33" s="13">
        <f t="shared" si="1"/>
        <v>0</v>
      </c>
      <c r="J33" s="11">
        <f>(SUM(G34:$G$79)*$I$1)</f>
        <v>0</v>
      </c>
      <c r="K33" s="11">
        <f t="shared" si="4"/>
        <v>0</v>
      </c>
      <c r="M33" s="24"/>
      <c r="N33" s="24"/>
      <c r="O33" s="24"/>
      <c r="P33" s="24"/>
    </row>
    <row r="34" spans="2:16" x14ac:dyDescent="0.25">
      <c r="B34">
        <v>30</v>
      </c>
      <c r="C34" s="12">
        <v>0</v>
      </c>
      <c r="D34" s="10">
        <f t="shared" si="2"/>
        <v>1</v>
      </c>
      <c r="E34" s="10">
        <f t="shared" si="5"/>
        <v>0</v>
      </c>
      <c r="F34" s="10">
        <f t="shared" si="0"/>
        <v>0.30831866797342034</v>
      </c>
      <c r="G34" s="10">
        <f t="shared" si="3"/>
        <v>0</v>
      </c>
      <c r="I34" s="13">
        <f t="shared" si="1"/>
        <v>0</v>
      </c>
      <c r="J34" s="11">
        <f>(SUM(G35:$G$79)*$I$1)</f>
        <v>0</v>
      </c>
      <c r="K34" s="11">
        <f t="shared" si="4"/>
        <v>0</v>
      </c>
      <c r="M34" s="24"/>
      <c r="N34" s="24"/>
      <c r="O34" s="24"/>
      <c r="P34" s="24"/>
    </row>
    <row r="35" spans="2:16" x14ac:dyDescent="0.25">
      <c r="B35">
        <v>31</v>
      </c>
      <c r="C35" s="12">
        <v>0</v>
      </c>
      <c r="D35" s="10">
        <f t="shared" si="2"/>
        <v>1</v>
      </c>
      <c r="E35" s="10">
        <f t="shared" si="5"/>
        <v>0</v>
      </c>
      <c r="F35" s="10">
        <f t="shared" si="0"/>
        <v>0.29646025766675027</v>
      </c>
      <c r="G35" s="10">
        <f t="shared" si="3"/>
        <v>0</v>
      </c>
      <c r="I35" s="13">
        <f t="shared" si="1"/>
        <v>0</v>
      </c>
      <c r="J35" s="11">
        <f>(SUM(G36:$G$79)*$I$1)</f>
        <v>0</v>
      </c>
      <c r="K35" s="11">
        <f t="shared" si="4"/>
        <v>0</v>
      </c>
      <c r="M35" s="24"/>
      <c r="N35" s="24"/>
      <c r="O35" s="24"/>
      <c r="P35" s="24"/>
    </row>
    <row r="36" spans="2:16" x14ac:dyDescent="0.25">
      <c r="B36">
        <v>32</v>
      </c>
      <c r="C36" s="12">
        <v>0</v>
      </c>
      <c r="D36" s="10">
        <f t="shared" si="2"/>
        <v>1</v>
      </c>
      <c r="E36" s="10">
        <f t="shared" si="5"/>
        <v>0</v>
      </c>
      <c r="F36" s="10">
        <f t="shared" si="0"/>
        <v>0.28505794006418295</v>
      </c>
      <c r="G36" s="10">
        <f t="shared" si="3"/>
        <v>0</v>
      </c>
      <c r="I36" s="13">
        <f t="shared" si="1"/>
        <v>0</v>
      </c>
      <c r="J36" s="11">
        <f>(SUM(G37:$G$79)*$I$1)</f>
        <v>0</v>
      </c>
      <c r="K36" s="11">
        <f t="shared" si="4"/>
        <v>0</v>
      </c>
      <c r="M36" s="24"/>
      <c r="N36" s="24"/>
      <c r="O36" s="24"/>
      <c r="P36" s="24"/>
    </row>
    <row r="37" spans="2:16" x14ac:dyDescent="0.25">
      <c r="B37">
        <v>33</v>
      </c>
      <c r="C37" s="12">
        <v>0</v>
      </c>
      <c r="D37" s="10">
        <f t="shared" si="2"/>
        <v>1</v>
      </c>
      <c r="E37" s="10">
        <f t="shared" si="5"/>
        <v>0</v>
      </c>
      <c r="F37" s="10">
        <f t="shared" si="0"/>
        <v>0.27409417313863743</v>
      </c>
      <c r="G37" s="10">
        <f t="shared" si="3"/>
        <v>0</v>
      </c>
      <c r="I37" s="13">
        <f t="shared" si="1"/>
        <v>0</v>
      </c>
      <c r="J37" s="11">
        <f>(SUM(G38:$G$79)*$I$1)</f>
        <v>0</v>
      </c>
      <c r="K37" s="11">
        <f t="shared" si="4"/>
        <v>0</v>
      </c>
      <c r="M37" s="24"/>
      <c r="N37" s="24"/>
      <c r="O37" s="24"/>
      <c r="P37" s="24"/>
    </row>
    <row r="38" spans="2:16" x14ac:dyDescent="0.25">
      <c r="B38">
        <v>34</v>
      </c>
      <c r="C38" s="12">
        <v>0</v>
      </c>
      <c r="D38" s="10">
        <f t="shared" si="2"/>
        <v>1</v>
      </c>
      <c r="E38" s="10">
        <f t="shared" si="5"/>
        <v>0</v>
      </c>
      <c r="F38" s="10">
        <f t="shared" si="0"/>
        <v>0.26355208955638215</v>
      </c>
      <c r="G38" s="10">
        <f t="shared" si="3"/>
        <v>0</v>
      </c>
      <c r="I38" s="13">
        <f t="shared" si="1"/>
        <v>0</v>
      </c>
      <c r="J38" s="11">
        <f>(SUM(G39:$G$79)*$I$1)</f>
        <v>0</v>
      </c>
      <c r="K38" s="11">
        <f t="shared" si="4"/>
        <v>0</v>
      </c>
      <c r="M38" s="24"/>
      <c r="N38" s="24"/>
      <c r="O38" s="24"/>
      <c r="P38" s="24"/>
    </row>
    <row r="39" spans="2:16" x14ac:dyDescent="0.25">
      <c r="B39">
        <v>35</v>
      </c>
      <c r="C39" s="12">
        <v>0</v>
      </c>
      <c r="D39" s="10">
        <f t="shared" si="2"/>
        <v>1</v>
      </c>
      <c r="E39" s="10">
        <f t="shared" si="5"/>
        <v>0</v>
      </c>
      <c r="F39" s="10">
        <f t="shared" si="0"/>
        <v>0.25341547072729048</v>
      </c>
      <c r="G39" s="10">
        <f t="shared" si="3"/>
        <v>0</v>
      </c>
      <c r="I39" s="13">
        <f t="shared" si="1"/>
        <v>0</v>
      </c>
      <c r="J39" s="11">
        <f>(SUM(G40:$G$79)*$I$1)</f>
        <v>0</v>
      </c>
      <c r="K39" s="11">
        <f t="shared" si="4"/>
        <v>0</v>
      </c>
      <c r="M39" s="24"/>
      <c r="N39" s="24"/>
      <c r="O39" s="24"/>
      <c r="P39" s="24"/>
    </row>
    <row r="40" spans="2:16" x14ac:dyDescent="0.25">
      <c r="B40">
        <v>36</v>
      </c>
      <c r="C40" s="12">
        <v>0</v>
      </c>
      <c r="D40" s="10">
        <f t="shared" si="2"/>
        <v>1</v>
      </c>
      <c r="E40" s="10">
        <f t="shared" si="5"/>
        <v>0</v>
      </c>
      <c r="F40" s="10">
        <f t="shared" si="0"/>
        <v>0.24366872185316396</v>
      </c>
      <c r="G40" s="10">
        <f t="shared" si="3"/>
        <v>0</v>
      </c>
      <c r="I40" s="13">
        <f t="shared" si="1"/>
        <v>0</v>
      </c>
      <c r="J40" s="11">
        <f>(SUM(G41:$G$79)*$I$1)</f>
        <v>0</v>
      </c>
      <c r="K40" s="11">
        <f t="shared" si="4"/>
        <v>0</v>
      </c>
      <c r="M40" s="24"/>
      <c r="N40" s="24"/>
      <c r="O40" s="24"/>
      <c r="P40" s="24"/>
    </row>
    <row r="41" spans="2:16" x14ac:dyDescent="0.25">
      <c r="B41">
        <v>37</v>
      </c>
      <c r="C41" s="12">
        <v>0</v>
      </c>
      <c r="D41" s="10">
        <f t="shared" si="2"/>
        <v>1</v>
      </c>
      <c r="E41" s="10">
        <f t="shared" si="5"/>
        <v>0</v>
      </c>
      <c r="F41" s="10">
        <f t="shared" si="0"/>
        <v>0.23429684793573452</v>
      </c>
      <c r="G41" s="10">
        <f t="shared" si="3"/>
        <v>0</v>
      </c>
      <c r="I41" s="13">
        <f t="shared" si="1"/>
        <v>0</v>
      </c>
      <c r="J41" s="11">
        <f>(SUM(G42:$G$79)*$I$1)</f>
        <v>0</v>
      </c>
      <c r="K41" s="11">
        <f t="shared" si="4"/>
        <v>0</v>
      </c>
      <c r="M41" s="24"/>
      <c r="N41" s="24"/>
      <c r="O41" s="24"/>
      <c r="P41" s="24"/>
    </row>
    <row r="42" spans="2:16" x14ac:dyDescent="0.25">
      <c r="B42">
        <v>38</v>
      </c>
      <c r="C42" s="12">
        <v>0</v>
      </c>
      <c r="D42" s="10">
        <f t="shared" si="2"/>
        <v>1</v>
      </c>
      <c r="E42" s="10">
        <f t="shared" si="5"/>
        <v>0</v>
      </c>
      <c r="F42" s="10">
        <f t="shared" si="0"/>
        <v>0.22528543070743706</v>
      </c>
      <c r="G42" s="10">
        <f t="shared" si="3"/>
        <v>0</v>
      </c>
      <c r="I42" s="13">
        <f t="shared" si="1"/>
        <v>0</v>
      </c>
      <c r="J42" s="11">
        <f>(SUM(G43:$G$79)*$I$1)</f>
        <v>0</v>
      </c>
      <c r="K42" s="11">
        <f t="shared" si="4"/>
        <v>0</v>
      </c>
      <c r="M42" s="24"/>
      <c r="N42" s="24"/>
      <c r="O42" s="24"/>
      <c r="P42" s="24"/>
    </row>
    <row r="43" spans="2:16" x14ac:dyDescent="0.25">
      <c r="B43">
        <v>39</v>
      </c>
      <c r="C43" s="12">
        <v>0</v>
      </c>
      <c r="D43" s="10">
        <f t="shared" si="2"/>
        <v>1</v>
      </c>
      <c r="E43" s="10">
        <f t="shared" si="5"/>
        <v>0</v>
      </c>
      <c r="F43" s="10">
        <f t="shared" si="0"/>
        <v>0.21662060644945874</v>
      </c>
      <c r="G43" s="10">
        <f t="shared" si="3"/>
        <v>0</v>
      </c>
      <c r="I43" s="13">
        <f t="shared" si="1"/>
        <v>0</v>
      </c>
      <c r="J43" s="11">
        <f>(SUM(G44:$G$79)*$I$1)</f>
        <v>0</v>
      </c>
      <c r="K43" s="11">
        <f t="shared" si="4"/>
        <v>0</v>
      </c>
    </row>
    <row r="44" spans="2:16" x14ac:dyDescent="0.25">
      <c r="B44">
        <v>40</v>
      </c>
      <c r="C44" s="12">
        <v>0</v>
      </c>
      <c r="D44" s="10">
        <f t="shared" si="2"/>
        <v>1</v>
      </c>
      <c r="E44" s="10">
        <f t="shared" si="5"/>
        <v>0</v>
      </c>
      <c r="F44" s="10">
        <f t="shared" si="0"/>
        <v>0.20828904466294101</v>
      </c>
      <c r="G44" s="10">
        <f t="shared" si="3"/>
        <v>0</v>
      </c>
      <c r="I44" s="13">
        <f t="shared" si="1"/>
        <v>0</v>
      </c>
      <c r="J44" s="11">
        <f>(SUM(G45:$G$79)*$I$1)</f>
        <v>0</v>
      </c>
      <c r="K44" s="11">
        <f t="shared" si="4"/>
        <v>0</v>
      </c>
    </row>
    <row r="45" spans="2:16" x14ac:dyDescent="0.25">
      <c r="B45">
        <v>41</v>
      </c>
      <c r="C45" s="12">
        <v>0</v>
      </c>
      <c r="D45" s="10">
        <f t="shared" si="2"/>
        <v>1</v>
      </c>
      <c r="E45" s="10">
        <f t="shared" si="5"/>
        <v>0</v>
      </c>
      <c r="F45" s="10">
        <f t="shared" si="0"/>
        <v>0.20027792756052021</v>
      </c>
      <c r="G45" s="10">
        <f t="shared" si="3"/>
        <v>0</v>
      </c>
      <c r="I45" s="13">
        <f t="shared" si="1"/>
        <v>0</v>
      </c>
      <c r="J45" s="11">
        <f>(SUM(G46:$G$79)*$I$1)</f>
        <v>0</v>
      </c>
      <c r="K45" s="11">
        <f t="shared" si="4"/>
        <v>0</v>
      </c>
    </row>
    <row r="46" spans="2:16" x14ac:dyDescent="0.25">
      <c r="B46">
        <v>42</v>
      </c>
      <c r="C46" s="12">
        <v>0</v>
      </c>
      <c r="D46" s="10">
        <f t="shared" si="2"/>
        <v>1</v>
      </c>
      <c r="E46" s="10">
        <f t="shared" si="5"/>
        <v>0</v>
      </c>
      <c r="F46" s="10">
        <f t="shared" si="0"/>
        <v>0.19257493034665407</v>
      </c>
      <c r="G46" s="10">
        <f t="shared" si="3"/>
        <v>0</v>
      </c>
      <c r="I46" s="13">
        <f t="shared" si="1"/>
        <v>0</v>
      </c>
      <c r="J46" s="11">
        <f>(SUM(G47:$G$79)*$I$1)</f>
        <v>0</v>
      </c>
      <c r="K46" s="11">
        <f t="shared" si="4"/>
        <v>0</v>
      </c>
    </row>
    <row r="47" spans="2:16" x14ac:dyDescent="0.25">
      <c r="B47">
        <v>43</v>
      </c>
      <c r="C47" s="12">
        <v>0</v>
      </c>
      <c r="D47" s="10">
        <f t="shared" si="2"/>
        <v>1</v>
      </c>
      <c r="E47" s="10">
        <f t="shared" si="5"/>
        <v>0</v>
      </c>
      <c r="F47" s="10">
        <f t="shared" si="0"/>
        <v>0.18516820225639813</v>
      </c>
      <c r="G47" s="10">
        <f t="shared" si="3"/>
        <v>0</v>
      </c>
      <c r="I47" s="13">
        <f t="shared" si="1"/>
        <v>0</v>
      </c>
      <c r="J47" s="11">
        <f>(SUM(G48:$G$79)*$I$1)</f>
        <v>0</v>
      </c>
      <c r="K47" s="11">
        <f t="shared" si="4"/>
        <v>0</v>
      </c>
    </row>
    <row r="48" spans="2:16" x14ac:dyDescent="0.25">
      <c r="B48">
        <v>44</v>
      </c>
      <c r="C48" s="12">
        <v>0</v>
      </c>
      <c r="D48" s="10">
        <f t="shared" si="2"/>
        <v>1</v>
      </c>
      <c r="E48" s="10">
        <f t="shared" si="5"/>
        <v>0</v>
      </c>
      <c r="F48" s="10">
        <f t="shared" si="0"/>
        <v>0.17804634832345972</v>
      </c>
      <c r="G48" s="10">
        <f t="shared" si="3"/>
        <v>0</v>
      </c>
      <c r="I48" s="13">
        <f t="shared" si="1"/>
        <v>0</v>
      </c>
      <c r="J48" s="11">
        <f>(SUM(G49:$G$79)*$I$1)</f>
        <v>0</v>
      </c>
      <c r="K48" s="11">
        <f t="shared" si="4"/>
        <v>0</v>
      </c>
    </row>
    <row r="49" spans="2:11" x14ac:dyDescent="0.25">
      <c r="B49">
        <v>45</v>
      </c>
      <c r="C49" s="12">
        <v>0</v>
      </c>
      <c r="D49" s="10">
        <f t="shared" si="2"/>
        <v>1</v>
      </c>
      <c r="E49" s="10">
        <f t="shared" si="5"/>
        <v>0</v>
      </c>
      <c r="F49" s="10">
        <f t="shared" si="0"/>
        <v>0.17119841184948048</v>
      </c>
      <c r="G49" s="10">
        <f t="shared" si="3"/>
        <v>0</v>
      </c>
      <c r="I49" s="13">
        <f t="shared" si="1"/>
        <v>0</v>
      </c>
      <c r="J49" s="11">
        <f>(SUM(G50:$G$79)*$I$1)</f>
        <v>0</v>
      </c>
      <c r="K49" s="11">
        <f t="shared" si="4"/>
        <v>0</v>
      </c>
    </row>
    <row r="50" spans="2:11" x14ac:dyDescent="0.25">
      <c r="B50">
        <v>46</v>
      </c>
      <c r="C50" s="12">
        <v>0</v>
      </c>
      <c r="D50" s="10">
        <f t="shared" si="2"/>
        <v>1</v>
      </c>
      <c r="E50" s="10">
        <f t="shared" si="5"/>
        <v>0</v>
      </c>
      <c r="F50" s="10">
        <f t="shared" si="0"/>
        <v>0.1646138575475774</v>
      </c>
      <c r="G50" s="10">
        <f t="shared" si="3"/>
        <v>0</v>
      </c>
      <c r="I50" s="13">
        <f t="shared" si="1"/>
        <v>0</v>
      </c>
      <c r="J50" s="11">
        <f>(SUM(G51:$G$79)*$I$1)</f>
        <v>0</v>
      </c>
      <c r="K50" s="11">
        <f t="shared" si="4"/>
        <v>0</v>
      </c>
    </row>
    <row r="51" spans="2:11" x14ac:dyDescent="0.25">
      <c r="B51">
        <v>47</v>
      </c>
      <c r="C51" s="12">
        <v>0</v>
      </c>
      <c r="D51" s="10">
        <f t="shared" si="2"/>
        <v>1</v>
      </c>
      <c r="E51" s="10">
        <f t="shared" si="5"/>
        <v>0</v>
      </c>
      <c r="F51" s="10">
        <f t="shared" si="0"/>
        <v>0.15828255533420904</v>
      </c>
      <c r="G51" s="10">
        <f t="shared" si="3"/>
        <v>0</v>
      </c>
      <c r="I51" s="13">
        <f t="shared" si="1"/>
        <v>0</v>
      </c>
      <c r="J51" s="11">
        <f>(SUM(G52:$G$79)*$I$1)</f>
        <v>0</v>
      </c>
      <c r="K51" s="11">
        <f t="shared" si="4"/>
        <v>0</v>
      </c>
    </row>
    <row r="52" spans="2:11" x14ac:dyDescent="0.25">
      <c r="B52">
        <v>48</v>
      </c>
      <c r="C52" s="12">
        <v>0</v>
      </c>
      <c r="D52" s="10">
        <f t="shared" si="2"/>
        <v>1</v>
      </c>
      <c r="E52" s="10">
        <f t="shared" si="5"/>
        <v>0</v>
      </c>
      <c r="F52" s="10">
        <f t="shared" si="0"/>
        <v>0.15219476474443175</v>
      </c>
      <c r="G52" s="10">
        <f t="shared" si="3"/>
        <v>0</v>
      </c>
      <c r="I52" s="13">
        <f t="shared" si="1"/>
        <v>0</v>
      </c>
      <c r="J52" s="11">
        <f>(SUM(G53:$G$79)*$I$1)</f>
        <v>0</v>
      </c>
      <c r="K52" s="11">
        <f t="shared" si="4"/>
        <v>0</v>
      </c>
    </row>
    <row r="53" spans="2:11" x14ac:dyDescent="0.25">
      <c r="B53">
        <v>49</v>
      </c>
      <c r="C53" s="12">
        <v>0</v>
      </c>
      <c r="D53" s="10">
        <f t="shared" si="2"/>
        <v>1</v>
      </c>
      <c r="E53" s="10">
        <f t="shared" si="5"/>
        <v>0</v>
      </c>
      <c r="F53" s="10">
        <f t="shared" si="0"/>
        <v>0.14634111994656898</v>
      </c>
      <c r="G53" s="10">
        <f t="shared" si="3"/>
        <v>0</v>
      </c>
      <c r="I53" s="13">
        <f t="shared" si="1"/>
        <v>0</v>
      </c>
      <c r="J53" s="11">
        <f>(SUM(G54:$G$79)*$I$1)</f>
        <v>0</v>
      </c>
      <c r="K53" s="11">
        <f t="shared" si="4"/>
        <v>0</v>
      </c>
    </row>
    <row r="54" spans="2:11" x14ac:dyDescent="0.25">
      <c r="B54">
        <v>50</v>
      </c>
      <c r="C54" s="12">
        <v>0</v>
      </c>
      <c r="D54" s="10">
        <f t="shared" si="2"/>
        <v>1</v>
      </c>
      <c r="E54" s="10">
        <f t="shared" si="5"/>
        <v>0</v>
      </c>
      <c r="F54" s="10">
        <f t="shared" si="0"/>
        <v>0.14071261533323939</v>
      </c>
      <c r="G54" s="10">
        <f t="shared" si="3"/>
        <v>0</v>
      </c>
      <c r="I54" s="13">
        <f t="shared" si="1"/>
        <v>0</v>
      </c>
      <c r="J54" s="11">
        <f>(SUM(G55:$G$79)*$I$1)</f>
        <v>0</v>
      </c>
      <c r="K54" s="11">
        <f t="shared" si="4"/>
        <v>0</v>
      </c>
    </row>
    <row r="55" spans="2:11" x14ac:dyDescent="0.25">
      <c r="B55">
        <v>51</v>
      </c>
      <c r="C55" s="12">
        <v>0</v>
      </c>
      <c r="D55" s="10">
        <f t="shared" si="2"/>
        <v>1</v>
      </c>
      <c r="E55" s="10">
        <f t="shared" si="5"/>
        <v>0</v>
      </c>
      <c r="F55" s="10">
        <f t="shared" si="0"/>
        <v>0.13530059166657632</v>
      </c>
      <c r="G55" s="10">
        <f t="shared" si="3"/>
        <v>0</v>
      </c>
      <c r="I55" s="13">
        <f t="shared" si="1"/>
        <v>0</v>
      </c>
      <c r="J55" s="11">
        <f>(SUM(G56:$G$79)*$I$1)</f>
        <v>0</v>
      </c>
      <c r="K55" s="11">
        <f t="shared" si="4"/>
        <v>0</v>
      </c>
    </row>
    <row r="56" spans="2:11" x14ac:dyDescent="0.25">
      <c r="B56">
        <v>52</v>
      </c>
      <c r="C56" s="12">
        <v>0</v>
      </c>
      <c r="D56" s="10">
        <f t="shared" si="2"/>
        <v>1</v>
      </c>
      <c r="E56" s="10">
        <f t="shared" si="5"/>
        <v>0</v>
      </c>
      <c r="F56" s="10">
        <f t="shared" si="0"/>
        <v>0.13009672275632339</v>
      </c>
      <c r="G56" s="10">
        <f t="shared" si="3"/>
        <v>0</v>
      </c>
      <c r="I56" s="13">
        <f t="shared" si="1"/>
        <v>0</v>
      </c>
      <c r="J56" s="11">
        <f>(SUM(G57:$G$79)*$I$1)</f>
        <v>0</v>
      </c>
      <c r="K56" s="11">
        <f t="shared" si="4"/>
        <v>0</v>
      </c>
    </row>
    <row r="57" spans="2:11" x14ac:dyDescent="0.25">
      <c r="B57">
        <v>53</v>
      </c>
      <c r="C57" s="12">
        <v>0</v>
      </c>
      <c r="D57" s="10">
        <f t="shared" si="2"/>
        <v>1</v>
      </c>
      <c r="E57" s="10">
        <f t="shared" si="5"/>
        <v>0</v>
      </c>
      <c r="F57" s="10">
        <f t="shared" si="0"/>
        <v>0.12509300265031092</v>
      </c>
      <c r="G57" s="10">
        <f t="shared" si="3"/>
        <v>0</v>
      </c>
      <c r="I57" s="13">
        <f t="shared" si="1"/>
        <v>0</v>
      </c>
      <c r="J57" s="11">
        <f>(SUM(G58:$G$79)*$I$1)</f>
        <v>0</v>
      </c>
      <c r="K57" s="11">
        <f t="shared" si="4"/>
        <v>0</v>
      </c>
    </row>
    <row r="58" spans="2:11" x14ac:dyDescent="0.25">
      <c r="B58">
        <v>54</v>
      </c>
      <c r="C58" s="12">
        <v>0</v>
      </c>
      <c r="D58" s="10">
        <f t="shared" si="2"/>
        <v>1</v>
      </c>
      <c r="E58" s="10">
        <f t="shared" si="5"/>
        <v>0</v>
      </c>
      <c r="F58" s="10">
        <f t="shared" si="0"/>
        <v>0.12028173331760666</v>
      </c>
      <c r="G58" s="10">
        <f t="shared" si="3"/>
        <v>0</v>
      </c>
      <c r="I58" s="13">
        <f t="shared" si="1"/>
        <v>0</v>
      </c>
      <c r="J58" s="11">
        <f>(SUM(G59:$G$79)*$I$1)</f>
        <v>0</v>
      </c>
      <c r="K58" s="11">
        <f t="shared" si="4"/>
        <v>0</v>
      </c>
    </row>
    <row r="59" spans="2:11" x14ac:dyDescent="0.25">
      <c r="B59">
        <v>55</v>
      </c>
      <c r="C59" s="12">
        <v>0</v>
      </c>
      <c r="D59" s="10">
        <f t="shared" si="2"/>
        <v>1</v>
      </c>
      <c r="E59" s="10">
        <f t="shared" si="5"/>
        <v>0</v>
      </c>
      <c r="F59" s="10">
        <f t="shared" si="0"/>
        <v>0.11565551280539103</v>
      </c>
      <c r="G59" s="10">
        <f t="shared" si="3"/>
        <v>0</v>
      </c>
      <c r="I59" s="13">
        <f t="shared" si="1"/>
        <v>0</v>
      </c>
      <c r="J59" s="11">
        <f>(SUM(G60:$G$79)*$I$1)</f>
        <v>0</v>
      </c>
      <c r="K59" s="11">
        <f t="shared" si="4"/>
        <v>0</v>
      </c>
    </row>
    <row r="60" spans="2:11" x14ac:dyDescent="0.25">
      <c r="B60">
        <v>56</v>
      </c>
      <c r="C60" s="12">
        <v>0</v>
      </c>
      <c r="D60" s="10">
        <f t="shared" si="2"/>
        <v>1</v>
      </c>
      <c r="E60" s="10">
        <f t="shared" si="5"/>
        <v>0</v>
      </c>
      <c r="F60" s="10">
        <f>IF(D60=0,0,(1+$F$2)^-B60)</f>
        <v>0.11120722385133754</v>
      </c>
      <c r="G60" s="10">
        <f t="shared" si="3"/>
        <v>0</v>
      </c>
      <c r="I60" s="13">
        <f t="shared" si="1"/>
        <v>0</v>
      </c>
      <c r="J60" s="11">
        <f>(SUM(G61:$G$79)*$I$1)</f>
        <v>0</v>
      </c>
      <c r="K60" s="11">
        <f t="shared" si="4"/>
        <v>0</v>
      </c>
    </row>
    <row r="61" spans="2:11" x14ac:dyDescent="0.25">
      <c r="B61">
        <v>57</v>
      </c>
      <c r="C61" s="12">
        <v>0</v>
      </c>
      <c r="D61" s="10">
        <f t="shared" si="2"/>
        <v>1</v>
      </c>
      <c r="E61" s="10">
        <f t="shared" si="5"/>
        <v>0</v>
      </c>
      <c r="F61" s="10">
        <f t="shared" ref="F61:F79" si="6">IF(D61=0,0,(1+$F$2)^-B61)</f>
        <v>0.10693002293397837</v>
      </c>
      <c r="G61" s="10">
        <f t="shared" si="3"/>
        <v>0</v>
      </c>
      <c r="I61" s="13">
        <f t="shared" si="1"/>
        <v>0</v>
      </c>
      <c r="J61" s="11">
        <f>(SUM(G62:$G$79)*$I$1)</f>
        <v>0</v>
      </c>
      <c r="K61" s="11">
        <f t="shared" si="4"/>
        <v>0</v>
      </c>
    </row>
    <row r="62" spans="2:11" x14ac:dyDescent="0.25">
      <c r="B62">
        <v>58</v>
      </c>
      <c r="C62" s="12">
        <v>0</v>
      </c>
      <c r="D62" s="10">
        <f t="shared" si="2"/>
        <v>1</v>
      </c>
      <c r="E62" s="10">
        <f t="shared" si="5"/>
        <v>0</v>
      </c>
      <c r="F62" s="10">
        <f t="shared" si="6"/>
        <v>0.10281732974420998</v>
      </c>
      <c r="G62" s="10">
        <f t="shared" si="3"/>
        <v>0</v>
      </c>
      <c r="I62" s="13">
        <f t="shared" si="1"/>
        <v>0</v>
      </c>
      <c r="J62" s="11">
        <f>(SUM(G63:$G$79)*$I$1)</f>
        <v>0</v>
      </c>
      <c r="K62" s="11">
        <f t="shared" si="4"/>
        <v>0</v>
      </c>
    </row>
    <row r="63" spans="2:11" x14ac:dyDescent="0.25">
      <c r="B63">
        <v>59</v>
      </c>
      <c r="C63" s="12">
        <v>0</v>
      </c>
      <c r="D63" s="10">
        <f t="shared" si="2"/>
        <v>1</v>
      </c>
      <c r="E63" s="10">
        <f t="shared" si="5"/>
        <v>0</v>
      </c>
      <c r="F63" s="10">
        <f t="shared" si="6"/>
        <v>9.8862817061740368E-2</v>
      </c>
      <c r="G63" s="10">
        <f t="shared" si="3"/>
        <v>0</v>
      </c>
      <c r="I63" s="13">
        <f t="shared" si="1"/>
        <v>0</v>
      </c>
      <c r="J63" s="11">
        <f>(SUM(G64:$G$79)*$I$1)</f>
        <v>0</v>
      </c>
      <c r="K63" s="11">
        <f t="shared" si="4"/>
        <v>0</v>
      </c>
    </row>
    <row r="64" spans="2:11" x14ac:dyDescent="0.25">
      <c r="B64">
        <v>60</v>
      </c>
      <c r="C64" s="12">
        <v>0</v>
      </c>
      <c r="D64" s="10">
        <f t="shared" si="2"/>
        <v>1</v>
      </c>
      <c r="E64" s="10">
        <f t="shared" si="5"/>
        <v>0</v>
      </c>
      <c r="F64" s="10">
        <f t="shared" si="6"/>
        <v>9.506040102090417E-2</v>
      </c>
      <c r="G64" s="10">
        <f t="shared" si="3"/>
        <v>0</v>
      </c>
      <c r="I64" s="13">
        <f t="shared" si="1"/>
        <v>0</v>
      </c>
      <c r="J64" s="11">
        <f>(SUM(G65:$G$79)*$I$1)</f>
        <v>0</v>
      </c>
      <c r="K64" s="11">
        <f t="shared" si="4"/>
        <v>0</v>
      </c>
    </row>
    <row r="65" spans="2:11" x14ac:dyDescent="0.25">
      <c r="B65">
        <v>61</v>
      </c>
      <c r="C65" s="12">
        <v>0</v>
      </c>
      <c r="D65" s="10">
        <f t="shared" si="2"/>
        <v>1</v>
      </c>
      <c r="E65" s="10">
        <f t="shared" si="5"/>
        <v>0</v>
      </c>
      <c r="F65" s="10">
        <f t="shared" si="6"/>
        <v>9.1404231750869397E-2</v>
      </c>
      <c r="G65" s="10">
        <f t="shared" si="3"/>
        <v>0</v>
      </c>
      <c r="I65" s="13">
        <f t="shared" si="1"/>
        <v>0</v>
      </c>
      <c r="J65" s="11">
        <f>(SUM(G66:$G$79)*$I$1)</f>
        <v>0</v>
      </c>
      <c r="K65" s="11">
        <f t="shared" si="4"/>
        <v>0</v>
      </c>
    </row>
    <row r="66" spans="2:11" x14ac:dyDescent="0.25">
      <c r="B66">
        <v>62</v>
      </c>
      <c r="C66" s="12">
        <v>0</v>
      </c>
      <c r="D66" s="10">
        <f t="shared" si="2"/>
        <v>1</v>
      </c>
      <c r="E66" s="10">
        <f t="shared" si="5"/>
        <v>0</v>
      </c>
      <c r="F66" s="10">
        <f t="shared" si="6"/>
        <v>8.7888684375835968E-2</v>
      </c>
      <c r="G66" s="10">
        <f t="shared" si="3"/>
        <v>0</v>
      </c>
      <c r="I66" s="13">
        <f t="shared" si="1"/>
        <v>0</v>
      </c>
      <c r="J66" s="11">
        <f>(SUM(G67:$G$79)*$I$1)</f>
        <v>0</v>
      </c>
      <c r="K66" s="11">
        <f t="shared" si="4"/>
        <v>0</v>
      </c>
    </row>
    <row r="67" spans="2:11" x14ac:dyDescent="0.25">
      <c r="B67">
        <v>63</v>
      </c>
      <c r="C67" s="12">
        <v>0</v>
      </c>
      <c r="D67" s="10">
        <f t="shared" si="2"/>
        <v>1</v>
      </c>
      <c r="E67" s="10">
        <f t="shared" si="5"/>
        <v>0</v>
      </c>
      <c r="F67" s="10">
        <f t="shared" si="6"/>
        <v>8.4508350361380741E-2</v>
      </c>
      <c r="G67" s="10">
        <f t="shared" si="3"/>
        <v>0</v>
      </c>
      <c r="I67" s="13">
        <f t="shared" si="1"/>
        <v>0</v>
      </c>
      <c r="J67" s="11">
        <f>(SUM(G68:$G$79)*$I$1)</f>
        <v>0</v>
      </c>
      <c r="K67" s="11">
        <f t="shared" si="4"/>
        <v>0</v>
      </c>
    </row>
    <row r="68" spans="2:11" x14ac:dyDescent="0.25">
      <c r="B68">
        <v>64</v>
      </c>
      <c r="C68" s="12">
        <v>0</v>
      </c>
      <c r="D68" s="10">
        <f t="shared" si="2"/>
        <v>1</v>
      </c>
      <c r="E68" s="10">
        <f t="shared" si="5"/>
        <v>0</v>
      </c>
      <c r="F68" s="10">
        <f t="shared" si="6"/>
        <v>8.1258029193635312E-2</v>
      </c>
      <c r="G68" s="10">
        <f t="shared" si="3"/>
        <v>0</v>
      </c>
      <c r="I68" s="13">
        <f t="shared" si="1"/>
        <v>0</v>
      </c>
      <c r="J68" s="11">
        <f>(SUM(G69:$G$79)*$I$1)</f>
        <v>0</v>
      </c>
      <c r="K68" s="11">
        <f t="shared" si="4"/>
        <v>0</v>
      </c>
    </row>
    <row r="69" spans="2:11" x14ac:dyDescent="0.25">
      <c r="B69">
        <v>65</v>
      </c>
      <c r="C69" s="12">
        <v>0</v>
      </c>
      <c r="D69" s="10">
        <f t="shared" si="2"/>
        <v>1</v>
      </c>
      <c r="E69" s="10">
        <f t="shared" si="5"/>
        <v>0</v>
      </c>
      <c r="F69" s="10">
        <f t="shared" si="6"/>
        <v>7.8132720378495488E-2</v>
      </c>
      <c r="G69" s="10">
        <f t="shared" si="3"/>
        <v>0</v>
      </c>
      <c r="I69" s="13">
        <f t="shared" ref="I69:I79" si="7">E69*$I$1</f>
        <v>0</v>
      </c>
      <c r="J69" s="11">
        <f>(SUM(G70:$G$79)*$I$1)</f>
        <v>0</v>
      </c>
      <c r="K69" s="11">
        <f t="shared" si="4"/>
        <v>0</v>
      </c>
    </row>
    <row r="70" spans="2:11" x14ac:dyDescent="0.25">
      <c r="B70">
        <v>66</v>
      </c>
      <c r="C70" s="12">
        <v>0</v>
      </c>
      <c r="D70" s="10">
        <f t="shared" ref="D70:D79" si="8">1-C70</f>
        <v>1</v>
      </c>
      <c r="E70" s="10">
        <f t="shared" si="5"/>
        <v>0</v>
      </c>
      <c r="F70" s="10">
        <f t="shared" si="6"/>
        <v>7.5127615748553353E-2</v>
      </c>
      <c r="G70" s="10">
        <f t="shared" ref="G70:G79" si="9">F70*E70</f>
        <v>0</v>
      </c>
      <c r="I70" s="13">
        <f t="shared" si="7"/>
        <v>0</v>
      </c>
      <c r="J70" s="11">
        <f>(SUM(G71:$G$79)*$I$1)</f>
        <v>0</v>
      </c>
      <c r="K70" s="11">
        <f t="shared" ref="K70:K79" si="10">J70-J69</f>
        <v>0</v>
      </c>
    </row>
    <row r="71" spans="2:11" x14ac:dyDescent="0.25">
      <c r="B71">
        <v>67</v>
      </c>
      <c r="C71" s="12">
        <v>0</v>
      </c>
      <c r="D71" s="10">
        <f t="shared" si="8"/>
        <v>1</v>
      </c>
      <c r="E71" s="10">
        <f t="shared" ref="E71:E79" si="11">E70*D71</f>
        <v>0</v>
      </c>
      <c r="F71" s="10">
        <f t="shared" si="6"/>
        <v>7.2238092065916693E-2</v>
      </c>
      <c r="G71" s="10">
        <f t="shared" si="9"/>
        <v>0</v>
      </c>
      <c r="I71" s="13">
        <f t="shared" si="7"/>
        <v>0</v>
      </c>
      <c r="J71" s="11">
        <f>(SUM(G72:$G$79)*$I$1)</f>
        <v>0</v>
      </c>
      <c r="K71" s="11">
        <f t="shared" si="10"/>
        <v>0</v>
      </c>
    </row>
    <row r="72" spans="2:11" x14ac:dyDescent="0.25">
      <c r="B72">
        <v>68</v>
      </c>
      <c r="C72" s="12">
        <v>0</v>
      </c>
      <c r="D72" s="10">
        <f t="shared" si="8"/>
        <v>1</v>
      </c>
      <c r="E72" s="10">
        <f t="shared" si="11"/>
        <v>0</v>
      </c>
      <c r="F72" s="10">
        <f t="shared" si="6"/>
        <v>6.9459703909535264E-2</v>
      </c>
      <c r="G72" s="10">
        <f t="shared" si="9"/>
        <v>0</v>
      </c>
      <c r="I72" s="13">
        <f t="shared" si="7"/>
        <v>0</v>
      </c>
      <c r="J72" s="11">
        <f>(SUM(G73:$G$79)*$I$1)</f>
        <v>0</v>
      </c>
      <c r="K72" s="11">
        <f t="shared" si="10"/>
        <v>0</v>
      </c>
    </row>
    <row r="73" spans="2:11" x14ac:dyDescent="0.25">
      <c r="B73">
        <v>69</v>
      </c>
      <c r="C73" s="12">
        <v>0</v>
      </c>
      <c r="D73" s="10">
        <f t="shared" si="8"/>
        <v>1</v>
      </c>
      <c r="E73" s="10">
        <f t="shared" si="11"/>
        <v>0</v>
      </c>
      <c r="F73" s="10">
        <f t="shared" si="6"/>
        <v>6.6788176836091603E-2</v>
      </c>
      <c r="G73" s="10">
        <f t="shared" si="9"/>
        <v>0</v>
      </c>
      <c r="I73" s="13">
        <f t="shared" si="7"/>
        <v>0</v>
      </c>
      <c r="J73" s="11">
        <f>(SUM(G74:$G$79)*$I$1)</f>
        <v>0</v>
      </c>
      <c r="K73" s="11">
        <f t="shared" si="10"/>
        <v>0</v>
      </c>
    </row>
    <row r="74" spans="2:11" x14ac:dyDescent="0.25">
      <c r="B74">
        <v>70</v>
      </c>
      <c r="C74" s="12">
        <v>0</v>
      </c>
      <c r="D74" s="10">
        <f t="shared" si="8"/>
        <v>1</v>
      </c>
      <c r="E74" s="10">
        <f t="shared" si="11"/>
        <v>0</v>
      </c>
      <c r="F74" s="10">
        <f t="shared" si="6"/>
        <v>6.4219400803934235E-2</v>
      </c>
      <c r="G74" s="10">
        <f t="shared" si="9"/>
        <v>0</v>
      </c>
      <c r="I74" s="13">
        <f t="shared" si="7"/>
        <v>0</v>
      </c>
      <c r="J74" s="11">
        <f>(SUM(G75:$G$79)*$I$1)</f>
        <v>0</v>
      </c>
      <c r="K74" s="11">
        <f t="shared" si="10"/>
        <v>0</v>
      </c>
    </row>
    <row r="75" spans="2:11" x14ac:dyDescent="0.25">
      <c r="B75">
        <v>71</v>
      </c>
      <c r="C75" s="12">
        <v>0</v>
      </c>
      <c r="D75" s="10">
        <f t="shared" si="8"/>
        <v>1</v>
      </c>
      <c r="E75" s="10">
        <f t="shared" si="11"/>
        <v>0</v>
      </c>
      <c r="F75" s="10">
        <f t="shared" si="6"/>
        <v>6.1749423849936765E-2</v>
      </c>
      <c r="G75" s="10">
        <f t="shared" si="9"/>
        <v>0</v>
      </c>
      <c r="I75" s="13">
        <f t="shared" si="7"/>
        <v>0</v>
      </c>
      <c r="J75" s="11">
        <f>(SUM(G76:$G$79)*$I$1)</f>
        <v>0</v>
      </c>
      <c r="K75" s="11">
        <f t="shared" si="10"/>
        <v>0</v>
      </c>
    </row>
    <row r="76" spans="2:11" x14ac:dyDescent="0.25">
      <c r="B76">
        <v>72</v>
      </c>
      <c r="C76" s="12">
        <v>0</v>
      </c>
      <c r="D76" s="10">
        <f t="shared" si="8"/>
        <v>1</v>
      </c>
      <c r="E76" s="10">
        <f t="shared" si="11"/>
        <v>0</v>
      </c>
      <c r="F76" s="10">
        <f t="shared" si="6"/>
        <v>5.937444600955457E-2</v>
      </c>
      <c r="G76" s="10">
        <f t="shared" si="9"/>
        <v>0</v>
      </c>
      <c r="I76" s="13">
        <f t="shared" si="7"/>
        <v>0</v>
      </c>
      <c r="J76" s="11">
        <f>(SUM(G77:$G$79)*$I$1)</f>
        <v>0</v>
      </c>
      <c r="K76" s="11">
        <f t="shared" si="10"/>
        <v>0</v>
      </c>
    </row>
    <row r="77" spans="2:11" x14ac:dyDescent="0.25">
      <c r="B77">
        <v>73</v>
      </c>
      <c r="C77" s="12">
        <v>0</v>
      </c>
      <c r="D77" s="10">
        <f t="shared" si="8"/>
        <v>1</v>
      </c>
      <c r="E77" s="10">
        <f t="shared" si="11"/>
        <v>0</v>
      </c>
      <c r="F77" s="10">
        <f t="shared" si="6"/>
        <v>5.7090813470725546E-2</v>
      </c>
      <c r="G77" s="10">
        <f t="shared" si="9"/>
        <v>0</v>
      </c>
      <c r="I77" s="13">
        <f t="shared" si="7"/>
        <v>0</v>
      </c>
      <c r="J77" s="11">
        <f>(SUM(G78:$G$79)*$I$1)</f>
        <v>0</v>
      </c>
      <c r="K77" s="11">
        <f t="shared" si="10"/>
        <v>0</v>
      </c>
    </row>
    <row r="78" spans="2:11" x14ac:dyDescent="0.25">
      <c r="B78">
        <v>74</v>
      </c>
      <c r="C78" s="12">
        <v>0</v>
      </c>
      <c r="D78" s="10">
        <f t="shared" si="8"/>
        <v>1</v>
      </c>
      <c r="E78" s="10">
        <f t="shared" si="11"/>
        <v>0</v>
      </c>
      <c r="F78" s="10">
        <f t="shared" si="6"/>
        <v>5.4895012952620711E-2</v>
      </c>
      <c r="G78" s="10">
        <f t="shared" si="9"/>
        <v>0</v>
      </c>
      <c r="I78" s="13">
        <f t="shared" si="7"/>
        <v>0</v>
      </c>
      <c r="J78" s="11">
        <f>(SUM(G79:$G$79)*$I$1)</f>
        <v>0</v>
      </c>
      <c r="K78" s="11">
        <f t="shared" si="10"/>
        <v>0</v>
      </c>
    </row>
    <row r="79" spans="2:11" x14ac:dyDescent="0.25">
      <c r="B79">
        <v>75</v>
      </c>
      <c r="C79" s="12">
        <v>0</v>
      </c>
      <c r="D79" s="10">
        <f t="shared" si="8"/>
        <v>1</v>
      </c>
      <c r="E79" s="10">
        <f t="shared" si="11"/>
        <v>0</v>
      </c>
      <c r="F79" s="10">
        <f t="shared" si="6"/>
        <v>5.2783666300596846E-2</v>
      </c>
      <c r="G79" s="10">
        <f t="shared" si="9"/>
        <v>0</v>
      </c>
      <c r="I79" s="13">
        <f t="shared" si="7"/>
        <v>0</v>
      </c>
      <c r="J79" s="11">
        <f>(SUM(G$79:$G80)*$I$1)</f>
        <v>0</v>
      </c>
      <c r="K79" s="11">
        <f t="shared" si="10"/>
        <v>0</v>
      </c>
    </row>
    <row r="80" spans="2:11" x14ac:dyDescent="0.25">
      <c r="C80" s="25"/>
    </row>
    <row r="81" spans="3:5" x14ac:dyDescent="0.25">
      <c r="C81" s="25"/>
    </row>
    <row r="82" spans="3:5" x14ac:dyDescent="0.25">
      <c r="D82" s="35"/>
      <c r="E82" s="35"/>
    </row>
    <row r="83" spans="3:5" x14ac:dyDescent="0.25">
      <c r="D83" s="35"/>
      <c r="E83" s="35"/>
    </row>
    <row r="84" spans="3:5" x14ac:dyDescent="0.25">
      <c r="D84" s="35"/>
      <c r="E84" s="35"/>
    </row>
    <row r="85" spans="3:5" x14ac:dyDescent="0.25">
      <c r="D85" s="35"/>
      <c r="E85" s="35"/>
    </row>
    <row r="86" spans="3:5" x14ac:dyDescent="0.25">
      <c r="D86" s="35"/>
      <c r="E86" s="35"/>
    </row>
    <row r="87" spans="3:5" x14ac:dyDescent="0.25">
      <c r="D87" s="35"/>
      <c r="E87" s="35"/>
    </row>
    <row r="88" spans="3:5" x14ac:dyDescent="0.25">
      <c r="D88" s="35"/>
      <c r="E88" s="35"/>
    </row>
    <row r="90" spans="3:5" x14ac:dyDescent="0.25">
      <c r="C90" s="25"/>
    </row>
    <row r="91" spans="3:5" x14ac:dyDescent="0.25">
      <c r="C91" s="25"/>
    </row>
    <row r="92" spans="3:5" x14ac:dyDescent="0.25">
      <c r="C92" s="25"/>
    </row>
    <row r="93" spans="3:5" x14ac:dyDescent="0.25">
      <c r="C93" s="25"/>
    </row>
    <row r="94" spans="3:5" x14ac:dyDescent="0.25">
      <c r="C94" s="25"/>
    </row>
    <row r="95" spans="3:5" x14ac:dyDescent="0.25">
      <c r="C95" s="25"/>
    </row>
    <row r="96" spans="3:5" x14ac:dyDescent="0.25">
      <c r="C96" s="25"/>
    </row>
    <row r="97" spans="3:3" x14ac:dyDescent="0.25">
      <c r="C97" s="25"/>
    </row>
    <row r="98" spans="3:3" x14ac:dyDescent="0.25">
      <c r="C98" s="25"/>
    </row>
    <row r="99" spans="3:3" x14ac:dyDescent="0.25">
      <c r="C99" s="25"/>
    </row>
    <row r="100" spans="3:3" x14ac:dyDescent="0.25">
      <c r="C100" s="25"/>
    </row>
    <row r="101" spans="3:3" x14ac:dyDescent="0.25">
      <c r="C101" s="25"/>
    </row>
    <row r="102" spans="3:3" x14ac:dyDescent="0.25">
      <c r="C102" s="25"/>
    </row>
    <row r="103" spans="3:3" x14ac:dyDescent="0.25">
      <c r="C103" s="25"/>
    </row>
    <row r="104" spans="3:3" x14ac:dyDescent="0.25">
      <c r="C104" s="25"/>
    </row>
    <row r="105" spans="3:3" x14ac:dyDescent="0.25">
      <c r="C105" s="25"/>
    </row>
    <row r="106" spans="3:3" x14ac:dyDescent="0.25">
      <c r="C106" s="25"/>
    </row>
    <row r="107" spans="3:3" x14ac:dyDescent="0.25">
      <c r="C107" s="25"/>
    </row>
    <row r="108" spans="3:3" x14ac:dyDescent="0.25">
      <c r="C108" s="25"/>
    </row>
    <row r="109" spans="3:3" x14ac:dyDescent="0.25">
      <c r="C109" s="25"/>
    </row>
    <row r="110" spans="3:3" x14ac:dyDescent="0.25">
      <c r="C110" s="25"/>
    </row>
    <row r="111" spans="3:3" x14ac:dyDescent="0.25">
      <c r="C111" s="25"/>
    </row>
    <row r="112" spans="3:3" x14ac:dyDescent="0.25">
      <c r="C112" s="25"/>
    </row>
    <row r="113" spans="3:3" x14ac:dyDescent="0.25">
      <c r="C113" s="25"/>
    </row>
    <row r="114" spans="3:3" x14ac:dyDescent="0.25">
      <c r="C114" s="25"/>
    </row>
    <row r="115" spans="3:3" x14ac:dyDescent="0.25">
      <c r="C115" s="25"/>
    </row>
    <row r="116" spans="3:3" x14ac:dyDescent="0.25">
      <c r="C116" s="25"/>
    </row>
    <row r="117" spans="3:3" x14ac:dyDescent="0.25">
      <c r="C117" s="25"/>
    </row>
    <row r="118" spans="3:3" x14ac:dyDescent="0.25">
      <c r="C118" s="25"/>
    </row>
    <row r="119" spans="3:3" x14ac:dyDescent="0.25">
      <c r="C119" s="25"/>
    </row>
    <row r="120" spans="3:3" x14ac:dyDescent="0.25">
      <c r="C120" s="25"/>
    </row>
    <row r="121" spans="3:3" x14ac:dyDescent="0.25">
      <c r="C121" s="25"/>
    </row>
    <row r="122" spans="3:3" x14ac:dyDescent="0.25">
      <c r="C122" s="25"/>
    </row>
    <row r="123" spans="3:3" x14ac:dyDescent="0.25">
      <c r="C123" s="25"/>
    </row>
    <row r="124" spans="3:3" x14ac:dyDescent="0.25">
      <c r="C124" s="25"/>
    </row>
    <row r="125" spans="3:3" x14ac:dyDescent="0.25">
      <c r="C125" s="25"/>
    </row>
    <row r="126" spans="3:3" x14ac:dyDescent="0.25">
      <c r="C126" s="25"/>
    </row>
    <row r="127" spans="3:3" x14ac:dyDescent="0.25">
      <c r="C127" s="25"/>
    </row>
    <row r="128" spans="3:3" x14ac:dyDescent="0.25">
      <c r="C128" s="25"/>
    </row>
    <row r="129" spans="3:3" x14ac:dyDescent="0.25">
      <c r="C129" s="25"/>
    </row>
    <row r="130" spans="3:3" x14ac:dyDescent="0.25">
      <c r="C130" s="25"/>
    </row>
    <row r="131" spans="3:3" x14ac:dyDescent="0.25">
      <c r="C131" s="25"/>
    </row>
    <row r="132" spans="3:3" x14ac:dyDescent="0.25">
      <c r="C132" s="25"/>
    </row>
    <row r="133" spans="3:3" x14ac:dyDescent="0.25">
      <c r="C133" s="25"/>
    </row>
    <row r="134" spans="3:3" x14ac:dyDescent="0.25">
      <c r="C134" s="25"/>
    </row>
    <row r="135" spans="3:3" x14ac:dyDescent="0.25">
      <c r="C135" s="25"/>
    </row>
    <row r="136" spans="3:3" x14ac:dyDescent="0.25">
      <c r="C136" s="25"/>
    </row>
    <row r="137" spans="3:3" x14ac:dyDescent="0.25">
      <c r="C137" s="25"/>
    </row>
    <row r="138" spans="3:3" x14ac:dyDescent="0.25">
      <c r="C138" s="25"/>
    </row>
    <row r="139" spans="3:3" x14ac:dyDescent="0.25">
      <c r="C139" s="25"/>
    </row>
    <row r="140" spans="3:3" x14ac:dyDescent="0.25">
      <c r="C140" s="25"/>
    </row>
    <row r="141" spans="3:3" x14ac:dyDescent="0.25">
      <c r="C141" s="25"/>
    </row>
    <row r="142" spans="3:3" x14ac:dyDescent="0.25">
      <c r="C142" s="25"/>
    </row>
    <row r="143" spans="3:3" x14ac:dyDescent="0.25">
      <c r="C143" s="25"/>
    </row>
    <row r="144" spans="3:3"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hyperlinks>
    <hyperlink ref="J1" location="'Read Me'!A1" display="Return to 'Read Me'"/>
    <hyperlink ref="J2" location="Summary!A1" display="Return to 'Summary'"/>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04"/>
  <sheetViews>
    <sheetView topLeftCell="A76" workbookViewId="0">
      <selection activeCell="C82" sqref="C82:E89"/>
    </sheetView>
  </sheetViews>
  <sheetFormatPr defaultRowHeight="15" x14ac:dyDescent="0.25"/>
  <cols>
    <col min="3" max="7" width="10" bestFit="1" customWidth="1"/>
    <col min="9" max="10" width="13.25" customWidth="1"/>
    <col min="11" max="11" width="11.75" customWidth="1"/>
    <col min="12" max="12" width="11.875" customWidth="1"/>
    <col min="13" max="13" width="11.625" bestFit="1" customWidth="1"/>
    <col min="14" max="15" width="11.625" customWidth="1"/>
  </cols>
  <sheetData>
    <row r="1" spans="2:16" x14ac:dyDescent="0.25">
      <c r="B1" t="s">
        <v>6</v>
      </c>
      <c r="I1" s="3">
        <v>5000</v>
      </c>
      <c r="J1" s="181" t="s">
        <v>173</v>
      </c>
      <c r="L1" s="1"/>
      <c r="M1" s="4"/>
      <c r="N1" s="4"/>
      <c r="O1" s="4"/>
    </row>
    <row r="2" spans="2:16" ht="15" customHeight="1" x14ac:dyDescent="0.25">
      <c r="F2" s="5">
        <f>'Asset and Liability Durations'!I10</f>
        <v>0.04</v>
      </c>
      <c r="J2" s="166" t="s">
        <v>174</v>
      </c>
      <c r="L2" s="6"/>
      <c r="M2" s="4"/>
      <c r="N2" s="4"/>
      <c r="O2" s="4"/>
    </row>
    <row r="3" spans="2:16" ht="45" x14ac:dyDescent="0.25">
      <c r="B3" s="7" t="s">
        <v>7</v>
      </c>
      <c r="C3" s="8" t="s">
        <v>8</v>
      </c>
      <c r="D3" s="7" t="s">
        <v>9</v>
      </c>
      <c r="E3" s="7" t="s">
        <v>10</v>
      </c>
      <c r="F3" s="7" t="s">
        <v>11</v>
      </c>
      <c r="G3" s="7" t="s">
        <v>12</v>
      </c>
      <c r="I3" s="7" t="s">
        <v>13</v>
      </c>
      <c r="J3" s="7" t="s">
        <v>14</v>
      </c>
      <c r="L3" s="7" t="s">
        <v>15</v>
      </c>
      <c r="M3" s="9">
        <f>+SUMPRODUCT(B5:B59,I5:I59,F5:F59)/SUMPRODUCT(F5:F59,I5:I59)</f>
        <v>5.177263917465873</v>
      </c>
      <c r="N3" s="10"/>
      <c r="O3" s="10"/>
    </row>
    <row r="4" spans="2:16" x14ac:dyDescent="0.25">
      <c r="B4">
        <v>0</v>
      </c>
      <c r="C4" s="8"/>
      <c r="D4" s="7"/>
      <c r="E4" s="7"/>
      <c r="F4" s="7"/>
      <c r="G4" s="10">
        <v>1</v>
      </c>
      <c r="J4" s="11">
        <f>(SUM(G5:$G$79)*$I$1)</f>
        <v>40554.478896775137</v>
      </c>
    </row>
    <row r="5" spans="2:16" ht="15.75" thickBot="1" x14ac:dyDescent="0.3">
      <c r="B5">
        <v>1</v>
      </c>
      <c r="C5" s="12">
        <v>0</v>
      </c>
      <c r="D5" s="10">
        <f>1-C5</f>
        <v>1</v>
      </c>
      <c r="E5" s="10">
        <f>D5</f>
        <v>1</v>
      </c>
      <c r="F5" s="10">
        <f t="shared" ref="F5:F59" si="0">IF(D5=0,0,(1+$F$2)^-B5)</f>
        <v>0.96153846153846145</v>
      </c>
      <c r="G5" s="10">
        <f>F5*E5</f>
        <v>0.96153846153846145</v>
      </c>
      <c r="I5" s="13">
        <f t="shared" ref="I5:I68" si="1">E5*$I$1</f>
        <v>5000</v>
      </c>
      <c r="J5" s="11">
        <f>(SUM(G6:$G$79)*$I$1)</f>
        <v>35746.786589082825</v>
      </c>
      <c r="K5" s="11">
        <f>J5-J4</f>
        <v>-4807.6923076923122</v>
      </c>
      <c r="L5" s="14" t="s">
        <v>16</v>
      </c>
      <c r="M5" s="14" t="s">
        <v>17</v>
      </c>
      <c r="N5" s="14" t="s">
        <v>18</v>
      </c>
      <c r="O5" s="14" t="s">
        <v>47</v>
      </c>
    </row>
    <row r="6" spans="2:16" x14ac:dyDescent="0.25">
      <c r="B6">
        <v>2</v>
      </c>
      <c r="C6" s="12">
        <v>0</v>
      </c>
      <c r="D6" s="10">
        <f t="shared" ref="D6:D69" si="2">1-C6</f>
        <v>1</v>
      </c>
      <c r="E6" s="10">
        <f>E5*D6</f>
        <v>1</v>
      </c>
      <c r="F6" s="10">
        <f t="shared" si="0"/>
        <v>0.92455621301775137</v>
      </c>
      <c r="G6" s="10">
        <f t="shared" ref="G6:G69" si="3">F6*E6</f>
        <v>0.92455621301775137</v>
      </c>
      <c r="I6" s="13">
        <f t="shared" si="1"/>
        <v>5000</v>
      </c>
      <c r="J6" s="11">
        <f>(SUM(G7:$G$79)*$I$1)</f>
        <v>31124.005523994067</v>
      </c>
      <c r="K6" s="11">
        <f t="shared" ref="K6:K69" si="4">J6-J5</f>
        <v>-4622.7810650887586</v>
      </c>
      <c r="L6" s="14">
        <v>2</v>
      </c>
      <c r="M6" s="54" t="s">
        <v>44</v>
      </c>
      <c r="N6" s="15">
        <f>SUM(I5:I7)</f>
        <v>15000</v>
      </c>
      <c r="O6" s="16">
        <f>N6/SUM($N$6:$N$9)</f>
        <v>0.3</v>
      </c>
    </row>
    <row r="7" spans="2:16" x14ac:dyDescent="0.25">
      <c r="B7">
        <v>3</v>
      </c>
      <c r="C7" s="12">
        <v>0</v>
      </c>
      <c r="D7" s="10">
        <f t="shared" si="2"/>
        <v>1</v>
      </c>
      <c r="E7" s="10">
        <f t="shared" ref="E7:E70" si="5">E6*D7</f>
        <v>1</v>
      </c>
      <c r="F7" s="10">
        <f t="shared" si="0"/>
        <v>0.88899635867091487</v>
      </c>
      <c r="G7" s="10">
        <f t="shared" si="3"/>
        <v>0.88899635867091487</v>
      </c>
      <c r="I7" s="13">
        <f t="shared" si="1"/>
        <v>5000</v>
      </c>
      <c r="J7" s="11">
        <f>(SUM(G8:$G$79)*$I$1)</f>
        <v>26679.023730639492</v>
      </c>
      <c r="K7" s="11">
        <f t="shared" si="4"/>
        <v>-4444.9817933545746</v>
      </c>
      <c r="L7" s="14">
        <v>5</v>
      </c>
      <c r="M7" s="19" t="s">
        <v>45</v>
      </c>
      <c r="N7" s="17">
        <f>SUM(I8:I11)</f>
        <v>20000</v>
      </c>
      <c r="O7" s="18">
        <f>N7/SUM($N$6:$N$9)</f>
        <v>0.4</v>
      </c>
    </row>
    <row r="8" spans="2:16" x14ac:dyDescent="0.25">
      <c r="B8">
        <v>4</v>
      </c>
      <c r="C8" s="12">
        <v>0</v>
      </c>
      <c r="D8" s="10">
        <f t="shared" si="2"/>
        <v>1</v>
      </c>
      <c r="E8" s="10">
        <f t="shared" si="5"/>
        <v>1</v>
      </c>
      <c r="F8" s="10">
        <f t="shared" si="0"/>
        <v>0.85480419102972571</v>
      </c>
      <c r="G8" s="10">
        <f t="shared" si="3"/>
        <v>0.85480419102972571</v>
      </c>
      <c r="I8" s="13">
        <f t="shared" si="1"/>
        <v>5000</v>
      </c>
      <c r="J8" s="11">
        <f>(SUM(G9:$G$79)*$I$1)</f>
        <v>22405.002775490866</v>
      </c>
      <c r="K8" s="11">
        <f t="shared" si="4"/>
        <v>-4274.0209551486259</v>
      </c>
      <c r="L8" s="14">
        <v>10</v>
      </c>
      <c r="M8" s="19" t="s">
        <v>46</v>
      </c>
      <c r="N8" s="17">
        <f>SUM(I12:I19)</f>
        <v>15000</v>
      </c>
      <c r="O8" s="18">
        <f>N8/SUM($N$6:$N$9)</f>
        <v>0.3</v>
      </c>
    </row>
    <row r="9" spans="2:16" ht="15.75" thickBot="1" x14ac:dyDescent="0.3">
      <c r="B9">
        <v>5</v>
      </c>
      <c r="C9" s="12">
        <v>0</v>
      </c>
      <c r="D9" s="10">
        <f t="shared" si="2"/>
        <v>1</v>
      </c>
      <c r="E9" s="10">
        <f t="shared" si="5"/>
        <v>1</v>
      </c>
      <c r="F9" s="10">
        <f t="shared" si="0"/>
        <v>0.82192710675935154</v>
      </c>
      <c r="G9" s="10">
        <f t="shared" si="3"/>
        <v>0.82192710675935154</v>
      </c>
      <c r="I9" s="13">
        <f t="shared" si="1"/>
        <v>5000</v>
      </c>
      <c r="J9" s="11">
        <f>(SUM(G10:$G$79)*$I$1)</f>
        <v>18295.367241694108</v>
      </c>
      <c r="K9" s="11">
        <f t="shared" si="4"/>
        <v>-4109.635533796758</v>
      </c>
      <c r="L9" s="14">
        <v>30</v>
      </c>
      <c r="M9" s="20" t="s">
        <v>48</v>
      </c>
      <c r="N9" s="21">
        <f>SUM(I20:I70)</f>
        <v>0</v>
      </c>
      <c r="O9" s="22">
        <f>N9/SUM($N$6:$N$9)</f>
        <v>0</v>
      </c>
    </row>
    <row r="10" spans="2:16" x14ac:dyDescent="0.25">
      <c r="B10">
        <v>6</v>
      </c>
      <c r="C10" s="12">
        <v>0</v>
      </c>
      <c r="D10" s="10">
        <f t="shared" si="2"/>
        <v>1</v>
      </c>
      <c r="E10" s="10">
        <f t="shared" si="5"/>
        <v>1</v>
      </c>
      <c r="F10" s="10">
        <f t="shared" si="0"/>
        <v>0.79031452573014571</v>
      </c>
      <c r="G10" s="10">
        <f t="shared" si="3"/>
        <v>0.79031452573014571</v>
      </c>
      <c r="I10" s="13">
        <f t="shared" si="1"/>
        <v>5000</v>
      </c>
      <c r="J10" s="11">
        <f>(SUM(G11:$G$79)*$I$1)</f>
        <v>14343.794613043381</v>
      </c>
      <c r="K10" s="11">
        <f t="shared" si="4"/>
        <v>-3951.572628650727</v>
      </c>
      <c r="L10" s="53">
        <f>+SUMPRODUCT(L6:L9,O6:O9)</f>
        <v>5.6</v>
      </c>
      <c r="O10" s="23">
        <f>SUM(O6:O9)</f>
        <v>1</v>
      </c>
    </row>
    <row r="11" spans="2:16" x14ac:dyDescent="0.25">
      <c r="B11">
        <v>7</v>
      </c>
      <c r="C11" s="12">
        <v>0</v>
      </c>
      <c r="D11" s="10">
        <f t="shared" si="2"/>
        <v>1</v>
      </c>
      <c r="E11" s="10">
        <f t="shared" si="5"/>
        <v>1</v>
      </c>
      <c r="F11" s="10">
        <f t="shared" si="0"/>
        <v>0.75991781320206331</v>
      </c>
      <c r="G11" s="10">
        <f t="shared" si="3"/>
        <v>0.75991781320206331</v>
      </c>
      <c r="I11" s="13">
        <f t="shared" si="1"/>
        <v>5000</v>
      </c>
      <c r="J11" s="11">
        <f>(SUM(G12:$G$79)*$I$1)</f>
        <v>10544.205547033063</v>
      </c>
      <c r="K11" s="11">
        <f t="shared" si="4"/>
        <v>-3799.5890660103178</v>
      </c>
    </row>
    <row r="12" spans="2:16" x14ac:dyDescent="0.25">
      <c r="B12">
        <v>8</v>
      </c>
      <c r="C12" s="12">
        <v>0</v>
      </c>
      <c r="D12" s="10">
        <f t="shared" si="2"/>
        <v>1</v>
      </c>
      <c r="E12" s="10">
        <f t="shared" si="5"/>
        <v>1</v>
      </c>
      <c r="F12" s="10">
        <f t="shared" si="0"/>
        <v>0.73069020500198378</v>
      </c>
      <c r="G12" s="10">
        <f t="shared" si="3"/>
        <v>0.73069020500198378</v>
      </c>
      <c r="I12" s="13">
        <f t="shared" si="1"/>
        <v>5000</v>
      </c>
      <c r="J12" s="11">
        <f>(SUM(G13:$G$79)*$I$1)</f>
        <v>6890.754522023145</v>
      </c>
      <c r="K12" s="11">
        <f t="shared" si="4"/>
        <v>-3653.4510250099183</v>
      </c>
    </row>
    <row r="13" spans="2:16" x14ac:dyDescent="0.25">
      <c r="B13">
        <v>9</v>
      </c>
      <c r="C13" s="12">
        <v>0</v>
      </c>
      <c r="D13" s="10">
        <f t="shared" si="2"/>
        <v>1</v>
      </c>
      <c r="E13" s="10">
        <f t="shared" si="5"/>
        <v>1</v>
      </c>
      <c r="F13" s="10">
        <f t="shared" si="0"/>
        <v>0.70258673557883045</v>
      </c>
      <c r="G13" s="10">
        <f t="shared" si="3"/>
        <v>0.70258673557883045</v>
      </c>
      <c r="I13" s="13">
        <f t="shared" si="1"/>
        <v>5000</v>
      </c>
      <c r="J13" s="11">
        <f>(SUM(G14:$G$79)*$I$1)</f>
        <v>3377.8208441289926</v>
      </c>
      <c r="K13" s="11">
        <f t="shared" si="4"/>
        <v>-3512.9336778941524</v>
      </c>
    </row>
    <row r="14" spans="2:16" x14ac:dyDescent="0.25">
      <c r="B14">
        <v>10</v>
      </c>
      <c r="C14" s="12">
        <v>0</v>
      </c>
      <c r="D14" s="10">
        <f t="shared" si="2"/>
        <v>1</v>
      </c>
      <c r="E14" s="10">
        <f t="shared" si="5"/>
        <v>1</v>
      </c>
      <c r="F14" s="10">
        <f t="shared" si="0"/>
        <v>0.67556416882579851</v>
      </c>
      <c r="G14" s="10">
        <f t="shared" si="3"/>
        <v>0.67556416882579851</v>
      </c>
      <c r="I14" s="13">
        <f>E14*$I$1</f>
        <v>5000</v>
      </c>
      <c r="J14" s="11">
        <f>(SUM(G15:$G$79)*$I$1)</f>
        <v>0</v>
      </c>
      <c r="K14" s="11">
        <f t="shared" si="4"/>
        <v>-3377.8208441289926</v>
      </c>
    </row>
    <row r="15" spans="2:16" x14ac:dyDescent="0.25">
      <c r="B15">
        <v>11</v>
      </c>
      <c r="C15" s="12">
        <v>1</v>
      </c>
      <c r="D15" s="10">
        <f t="shared" si="2"/>
        <v>0</v>
      </c>
      <c r="E15" s="10">
        <f t="shared" si="5"/>
        <v>0</v>
      </c>
      <c r="F15" s="10">
        <f t="shared" si="0"/>
        <v>0</v>
      </c>
      <c r="G15" s="10">
        <f t="shared" si="3"/>
        <v>0</v>
      </c>
      <c r="I15" s="13">
        <f t="shared" si="1"/>
        <v>0</v>
      </c>
      <c r="J15" s="11">
        <f>(SUM(G16:$G$79)*$I$1)</f>
        <v>0</v>
      </c>
      <c r="K15" s="11">
        <f t="shared" si="4"/>
        <v>0</v>
      </c>
      <c r="M15" s="24"/>
      <c r="N15" s="24"/>
      <c r="O15" s="24"/>
      <c r="P15" s="24"/>
    </row>
    <row r="16" spans="2:16" x14ac:dyDescent="0.25">
      <c r="B16">
        <v>12</v>
      </c>
      <c r="C16" s="12">
        <v>0</v>
      </c>
      <c r="D16" s="10">
        <f t="shared" si="2"/>
        <v>1</v>
      </c>
      <c r="E16" s="10">
        <f t="shared" si="5"/>
        <v>0</v>
      </c>
      <c r="F16" s="10">
        <f t="shared" si="0"/>
        <v>0.62459704958006512</v>
      </c>
      <c r="G16" s="10">
        <f t="shared" si="3"/>
        <v>0</v>
      </c>
      <c r="I16" s="13">
        <f t="shared" si="1"/>
        <v>0</v>
      </c>
      <c r="J16" s="11">
        <f>(SUM(G17:$G$79)*$I$1)</f>
        <v>0</v>
      </c>
      <c r="K16" s="11">
        <f t="shared" si="4"/>
        <v>0</v>
      </c>
      <c r="M16" s="24"/>
      <c r="N16" s="24"/>
      <c r="O16" s="24"/>
      <c r="P16" s="24"/>
    </row>
    <row r="17" spans="2:16" x14ac:dyDescent="0.25">
      <c r="B17">
        <v>13</v>
      </c>
      <c r="C17" s="12">
        <v>0</v>
      </c>
      <c r="D17" s="10">
        <f t="shared" si="2"/>
        <v>1</v>
      </c>
      <c r="E17" s="10">
        <f t="shared" si="5"/>
        <v>0</v>
      </c>
      <c r="F17" s="10">
        <f t="shared" si="0"/>
        <v>0.600574086134678</v>
      </c>
      <c r="G17" s="10">
        <f t="shared" si="3"/>
        <v>0</v>
      </c>
      <c r="I17" s="13">
        <f t="shared" si="1"/>
        <v>0</v>
      </c>
      <c r="J17" s="11">
        <f>(SUM(G18:$G$79)*$I$1)</f>
        <v>0</v>
      </c>
      <c r="K17" s="11">
        <f t="shared" si="4"/>
        <v>0</v>
      </c>
      <c r="M17" s="24"/>
      <c r="N17" s="24"/>
      <c r="O17" s="24"/>
      <c r="P17" s="24"/>
    </row>
    <row r="18" spans="2:16" x14ac:dyDescent="0.25">
      <c r="B18">
        <v>14</v>
      </c>
      <c r="C18" s="12">
        <v>0</v>
      </c>
      <c r="D18" s="10">
        <f t="shared" si="2"/>
        <v>1</v>
      </c>
      <c r="E18" s="10">
        <f t="shared" si="5"/>
        <v>0</v>
      </c>
      <c r="F18" s="10">
        <f t="shared" si="0"/>
        <v>0.57747508282180582</v>
      </c>
      <c r="G18" s="10">
        <f t="shared" si="3"/>
        <v>0</v>
      </c>
      <c r="I18" s="13">
        <f t="shared" si="1"/>
        <v>0</v>
      </c>
      <c r="J18" s="11">
        <f>(SUM(G19:$G$79)*$I$1)</f>
        <v>0</v>
      </c>
      <c r="K18" s="11">
        <f t="shared" si="4"/>
        <v>0</v>
      </c>
      <c r="M18" s="24"/>
      <c r="N18" s="24"/>
      <c r="O18" s="24"/>
      <c r="P18" s="24"/>
    </row>
    <row r="19" spans="2:16" x14ac:dyDescent="0.25">
      <c r="B19">
        <v>15</v>
      </c>
      <c r="C19" s="12">
        <v>0</v>
      </c>
      <c r="D19" s="10">
        <f t="shared" si="2"/>
        <v>1</v>
      </c>
      <c r="E19" s="10">
        <f t="shared" si="5"/>
        <v>0</v>
      </c>
      <c r="F19" s="10">
        <f t="shared" si="0"/>
        <v>0.55526450271327477</v>
      </c>
      <c r="G19" s="10">
        <f t="shared" si="3"/>
        <v>0</v>
      </c>
      <c r="I19" s="13">
        <f t="shared" si="1"/>
        <v>0</v>
      </c>
      <c r="J19" s="11">
        <f>(SUM(G20:$G$79)*$I$1)</f>
        <v>0</v>
      </c>
      <c r="K19" s="11">
        <f t="shared" si="4"/>
        <v>0</v>
      </c>
      <c r="M19" s="24"/>
      <c r="N19" s="24"/>
      <c r="O19" s="24"/>
      <c r="P19" s="24"/>
    </row>
    <row r="20" spans="2:16" x14ac:dyDescent="0.25">
      <c r="B20">
        <v>16</v>
      </c>
      <c r="C20" s="12">
        <v>0</v>
      </c>
      <c r="D20" s="10">
        <f t="shared" si="2"/>
        <v>1</v>
      </c>
      <c r="E20" s="10">
        <f t="shared" si="5"/>
        <v>0</v>
      </c>
      <c r="F20" s="10">
        <f t="shared" si="0"/>
        <v>0.53390817568584104</v>
      </c>
      <c r="G20" s="10">
        <f t="shared" si="3"/>
        <v>0</v>
      </c>
      <c r="I20" s="13">
        <f t="shared" si="1"/>
        <v>0</v>
      </c>
      <c r="J20" s="11">
        <f>(SUM(G21:$G$79)*$I$1)</f>
        <v>0</v>
      </c>
      <c r="K20" s="11">
        <f t="shared" si="4"/>
        <v>0</v>
      </c>
      <c r="M20" s="24"/>
      <c r="N20" s="24"/>
      <c r="O20" s="24"/>
      <c r="P20" s="24"/>
    </row>
    <row r="21" spans="2:16" x14ac:dyDescent="0.25">
      <c r="B21">
        <v>17</v>
      </c>
      <c r="C21" s="12">
        <v>0</v>
      </c>
      <c r="D21" s="10">
        <f t="shared" si="2"/>
        <v>1</v>
      </c>
      <c r="E21" s="10">
        <f t="shared" si="5"/>
        <v>0</v>
      </c>
      <c r="F21" s="10">
        <f t="shared" si="0"/>
        <v>0.51337324585177024</v>
      </c>
      <c r="G21" s="10">
        <f t="shared" si="3"/>
        <v>0</v>
      </c>
      <c r="I21" s="13">
        <f t="shared" si="1"/>
        <v>0</v>
      </c>
      <c r="J21" s="11">
        <f>(SUM(G22:$G$79)*$I$1)</f>
        <v>0</v>
      </c>
      <c r="K21" s="11">
        <f t="shared" si="4"/>
        <v>0</v>
      </c>
      <c r="M21" s="24"/>
      <c r="N21" s="24"/>
      <c r="O21" s="24"/>
      <c r="P21" s="24"/>
    </row>
    <row r="22" spans="2:16" x14ac:dyDescent="0.25">
      <c r="B22">
        <v>18</v>
      </c>
      <c r="C22" s="12">
        <v>0</v>
      </c>
      <c r="D22" s="10">
        <f t="shared" si="2"/>
        <v>1</v>
      </c>
      <c r="E22" s="10">
        <f t="shared" si="5"/>
        <v>0</v>
      </c>
      <c r="F22" s="10">
        <f t="shared" si="0"/>
        <v>0.49362812101131748</v>
      </c>
      <c r="G22" s="10">
        <f t="shared" si="3"/>
        <v>0</v>
      </c>
      <c r="I22" s="13">
        <f t="shared" si="1"/>
        <v>0</v>
      </c>
      <c r="J22" s="11">
        <f>(SUM(G23:$G$79)*$I$1)</f>
        <v>0</v>
      </c>
      <c r="K22" s="11">
        <f t="shared" si="4"/>
        <v>0</v>
      </c>
      <c r="M22" s="24"/>
      <c r="N22" s="24"/>
      <c r="O22" s="24"/>
      <c r="P22" s="24"/>
    </row>
    <row r="23" spans="2:16" x14ac:dyDescent="0.25">
      <c r="B23">
        <v>19</v>
      </c>
      <c r="C23" s="12">
        <v>0</v>
      </c>
      <c r="D23" s="10">
        <f t="shared" si="2"/>
        <v>1</v>
      </c>
      <c r="E23" s="10">
        <f t="shared" si="5"/>
        <v>0</v>
      </c>
      <c r="F23" s="10">
        <f t="shared" si="0"/>
        <v>0.47464242404934376</v>
      </c>
      <c r="G23" s="10">
        <f t="shared" si="3"/>
        <v>0</v>
      </c>
      <c r="I23" s="13">
        <f t="shared" si="1"/>
        <v>0</v>
      </c>
      <c r="J23" s="11">
        <f>(SUM(G24:$G$79)*$I$1)</f>
        <v>0</v>
      </c>
      <c r="K23" s="11">
        <f t="shared" si="4"/>
        <v>0</v>
      </c>
      <c r="M23" s="24"/>
      <c r="N23" s="24"/>
      <c r="O23" s="24"/>
      <c r="P23" s="24"/>
    </row>
    <row r="24" spans="2:16" x14ac:dyDescent="0.25">
      <c r="B24">
        <v>20</v>
      </c>
      <c r="C24" s="12">
        <v>0</v>
      </c>
      <c r="D24" s="10">
        <f t="shared" si="2"/>
        <v>1</v>
      </c>
      <c r="E24" s="10">
        <f t="shared" si="5"/>
        <v>0</v>
      </c>
      <c r="F24" s="10">
        <f t="shared" si="0"/>
        <v>0.45638694620129205</v>
      </c>
      <c r="G24" s="10">
        <f t="shared" si="3"/>
        <v>0</v>
      </c>
      <c r="I24" s="13">
        <f t="shared" si="1"/>
        <v>0</v>
      </c>
      <c r="J24" s="11">
        <f>(SUM(G25:$G$79)*$I$1)</f>
        <v>0</v>
      </c>
      <c r="K24" s="11">
        <f t="shared" si="4"/>
        <v>0</v>
      </c>
      <c r="M24" s="24"/>
      <c r="N24" s="24"/>
      <c r="O24" s="24"/>
      <c r="P24" s="24"/>
    </row>
    <row r="25" spans="2:16" x14ac:dyDescent="0.25">
      <c r="B25">
        <v>21</v>
      </c>
      <c r="C25" s="12">
        <v>0</v>
      </c>
      <c r="D25" s="10">
        <f t="shared" si="2"/>
        <v>1</v>
      </c>
      <c r="E25" s="10">
        <f t="shared" si="5"/>
        <v>0</v>
      </c>
      <c r="F25" s="10">
        <f t="shared" si="0"/>
        <v>0.43883360211662686</v>
      </c>
      <c r="G25" s="10">
        <f t="shared" si="3"/>
        <v>0</v>
      </c>
      <c r="I25" s="13">
        <f t="shared" si="1"/>
        <v>0</v>
      </c>
      <c r="J25" s="11">
        <f>(SUM(G26:$G$79)*$I$1)</f>
        <v>0</v>
      </c>
      <c r="K25" s="11">
        <f t="shared" si="4"/>
        <v>0</v>
      </c>
      <c r="M25" s="24"/>
      <c r="N25" s="24"/>
      <c r="O25" s="24"/>
      <c r="P25" s="24"/>
    </row>
    <row r="26" spans="2:16" x14ac:dyDescent="0.25">
      <c r="B26">
        <v>22</v>
      </c>
      <c r="C26" s="12">
        <v>0</v>
      </c>
      <c r="D26" s="10">
        <f t="shared" si="2"/>
        <v>1</v>
      </c>
      <c r="E26" s="10">
        <f t="shared" si="5"/>
        <v>0</v>
      </c>
      <c r="F26" s="10">
        <f t="shared" si="0"/>
        <v>0.42195538665060278</v>
      </c>
      <c r="G26" s="10">
        <f t="shared" si="3"/>
        <v>0</v>
      </c>
      <c r="I26" s="13">
        <f t="shared" si="1"/>
        <v>0</v>
      </c>
      <c r="J26" s="11">
        <f>(SUM(G27:$G$79)*$I$1)</f>
        <v>0</v>
      </c>
      <c r="K26" s="11">
        <f t="shared" si="4"/>
        <v>0</v>
      </c>
      <c r="M26" s="24"/>
      <c r="N26" s="24"/>
      <c r="O26" s="24"/>
      <c r="P26" s="24"/>
    </row>
    <row r="27" spans="2:16" x14ac:dyDescent="0.25">
      <c r="B27">
        <v>23</v>
      </c>
      <c r="C27" s="12">
        <v>0</v>
      </c>
      <c r="D27" s="10">
        <f t="shared" si="2"/>
        <v>1</v>
      </c>
      <c r="E27" s="10">
        <f t="shared" si="5"/>
        <v>0</v>
      </c>
      <c r="F27" s="10">
        <f t="shared" si="0"/>
        <v>0.40572633331788732</v>
      </c>
      <c r="G27" s="10">
        <f t="shared" si="3"/>
        <v>0</v>
      </c>
      <c r="I27" s="13">
        <f t="shared" si="1"/>
        <v>0</v>
      </c>
      <c r="J27" s="11">
        <f>(SUM(G28:$G$79)*$I$1)</f>
        <v>0</v>
      </c>
      <c r="K27" s="11">
        <f t="shared" si="4"/>
        <v>0</v>
      </c>
      <c r="M27" s="24"/>
      <c r="N27" s="24"/>
      <c r="O27" s="24"/>
      <c r="P27" s="24"/>
    </row>
    <row r="28" spans="2:16" x14ac:dyDescent="0.25">
      <c r="B28">
        <v>24</v>
      </c>
      <c r="C28" s="12">
        <v>0</v>
      </c>
      <c r="D28" s="10">
        <f t="shared" si="2"/>
        <v>1</v>
      </c>
      <c r="E28" s="10">
        <f t="shared" si="5"/>
        <v>0</v>
      </c>
      <c r="F28" s="10">
        <f t="shared" si="0"/>
        <v>0.39012147434412242</v>
      </c>
      <c r="G28" s="10">
        <f t="shared" si="3"/>
        <v>0</v>
      </c>
      <c r="I28" s="13">
        <f t="shared" si="1"/>
        <v>0</v>
      </c>
      <c r="J28" s="11">
        <f>(SUM(G29:$G$79)*$I$1)</f>
        <v>0</v>
      </c>
      <c r="K28" s="11">
        <f t="shared" si="4"/>
        <v>0</v>
      </c>
      <c r="M28" s="24"/>
      <c r="N28" s="24"/>
      <c r="O28" s="24"/>
      <c r="P28" s="24"/>
    </row>
    <row r="29" spans="2:16" x14ac:dyDescent="0.25">
      <c r="B29">
        <v>25</v>
      </c>
      <c r="C29" s="12">
        <v>0</v>
      </c>
      <c r="D29" s="10">
        <f t="shared" si="2"/>
        <v>1</v>
      </c>
      <c r="E29" s="10">
        <f t="shared" si="5"/>
        <v>0</v>
      </c>
      <c r="F29" s="10">
        <f t="shared" si="0"/>
        <v>0.37511680225396377</v>
      </c>
      <c r="G29" s="10">
        <f t="shared" si="3"/>
        <v>0</v>
      </c>
      <c r="I29" s="13">
        <f t="shared" si="1"/>
        <v>0</v>
      </c>
      <c r="J29" s="11">
        <f>(SUM(G30:$G$79)*$I$1)</f>
        <v>0</v>
      </c>
      <c r="K29" s="11">
        <f t="shared" si="4"/>
        <v>0</v>
      </c>
      <c r="M29" s="24"/>
      <c r="N29" s="24"/>
      <c r="O29" s="24"/>
      <c r="P29" s="24"/>
    </row>
    <row r="30" spans="2:16" x14ac:dyDescent="0.25">
      <c r="B30">
        <v>26</v>
      </c>
      <c r="C30" s="12">
        <v>0</v>
      </c>
      <c r="D30" s="10">
        <f t="shared" si="2"/>
        <v>1</v>
      </c>
      <c r="E30" s="10">
        <f t="shared" si="5"/>
        <v>0</v>
      </c>
      <c r="F30" s="10">
        <f t="shared" si="0"/>
        <v>0.36068923293650368</v>
      </c>
      <c r="G30" s="10">
        <f t="shared" si="3"/>
        <v>0</v>
      </c>
      <c r="I30" s="13">
        <f t="shared" si="1"/>
        <v>0</v>
      </c>
      <c r="J30" s="11">
        <f>(SUM(G31:$G$79)*$I$1)</f>
        <v>0</v>
      </c>
      <c r="K30" s="11">
        <f t="shared" si="4"/>
        <v>0</v>
      </c>
      <c r="M30" s="24"/>
      <c r="N30" s="24"/>
      <c r="O30" s="24"/>
      <c r="P30" s="24"/>
    </row>
    <row r="31" spans="2:16" x14ac:dyDescent="0.25">
      <c r="B31">
        <v>27</v>
      </c>
      <c r="C31" s="12">
        <v>0</v>
      </c>
      <c r="D31" s="10">
        <f t="shared" si="2"/>
        <v>1</v>
      </c>
      <c r="E31" s="10">
        <f t="shared" si="5"/>
        <v>0</v>
      </c>
      <c r="F31" s="10">
        <f t="shared" si="0"/>
        <v>0.3468165701312535</v>
      </c>
      <c r="G31" s="10">
        <f t="shared" si="3"/>
        <v>0</v>
      </c>
      <c r="I31" s="13">
        <f t="shared" si="1"/>
        <v>0</v>
      </c>
      <c r="J31" s="11">
        <f>(SUM(G32:$G$79)*$I$1)</f>
        <v>0</v>
      </c>
      <c r="K31" s="11">
        <f t="shared" si="4"/>
        <v>0</v>
      </c>
      <c r="M31" s="24"/>
      <c r="N31" s="24"/>
      <c r="O31" s="24"/>
      <c r="P31" s="24"/>
    </row>
    <row r="32" spans="2:16" x14ac:dyDescent="0.25">
      <c r="B32">
        <v>28</v>
      </c>
      <c r="C32" s="12">
        <v>0</v>
      </c>
      <c r="D32" s="10">
        <f t="shared" si="2"/>
        <v>1</v>
      </c>
      <c r="E32" s="10">
        <f t="shared" si="5"/>
        <v>0</v>
      </c>
      <c r="F32" s="10">
        <f t="shared" si="0"/>
        <v>0.3334774712800514</v>
      </c>
      <c r="G32" s="10">
        <f t="shared" si="3"/>
        <v>0</v>
      </c>
      <c r="I32" s="13">
        <f t="shared" si="1"/>
        <v>0</v>
      </c>
      <c r="J32" s="11">
        <f>(SUM(G33:$G$79)*$I$1)</f>
        <v>0</v>
      </c>
      <c r="K32" s="11">
        <f t="shared" si="4"/>
        <v>0</v>
      </c>
      <c r="M32" s="24"/>
      <c r="N32" s="24"/>
      <c r="O32" s="24"/>
      <c r="P32" s="24"/>
    </row>
    <row r="33" spans="2:16" x14ac:dyDescent="0.25">
      <c r="B33">
        <v>29</v>
      </c>
      <c r="C33" s="12">
        <v>0</v>
      </c>
      <c r="D33" s="10">
        <f t="shared" si="2"/>
        <v>1</v>
      </c>
      <c r="E33" s="10">
        <f t="shared" si="5"/>
        <v>0</v>
      </c>
      <c r="F33" s="10">
        <f t="shared" si="0"/>
        <v>0.32065141469235708</v>
      </c>
      <c r="G33" s="10">
        <f t="shared" si="3"/>
        <v>0</v>
      </c>
      <c r="I33" s="13">
        <f t="shared" si="1"/>
        <v>0</v>
      </c>
      <c r="J33" s="11">
        <f>(SUM(G34:$G$79)*$I$1)</f>
        <v>0</v>
      </c>
      <c r="K33" s="11">
        <f t="shared" si="4"/>
        <v>0</v>
      </c>
      <c r="M33" s="24"/>
      <c r="N33" s="24"/>
      <c r="O33" s="24"/>
      <c r="P33" s="24"/>
    </row>
    <row r="34" spans="2:16" x14ac:dyDescent="0.25">
      <c r="B34">
        <v>30</v>
      </c>
      <c r="C34" s="12">
        <v>0</v>
      </c>
      <c r="D34" s="10">
        <f t="shared" si="2"/>
        <v>1</v>
      </c>
      <c r="E34" s="10">
        <f t="shared" si="5"/>
        <v>0</v>
      </c>
      <c r="F34" s="10">
        <f t="shared" si="0"/>
        <v>0.30831866797342034</v>
      </c>
      <c r="G34" s="10">
        <f t="shared" si="3"/>
        <v>0</v>
      </c>
      <c r="I34" s="13">
        <f t="shared" si="1"/>
        <v>0</v>
      </c>
      <c r="J34" s="11">
        <f>(SUM(G35:$G$79)*$I$1)</f>
        <v>0</v>
      </c>
      <c r="K34" s="11">
        <f t="shared" si="4"/>
        <v>0</v>
      </c>
      <c r="M34" s="24"/>
      <c r="N34" s="24"/>
      <c r="O34" s="24"/>
      <c r="P34" s="24"/>
    </row>
    <row r="35" spans="2:16" x14ac:dyDescent="0.25">
      <c r="B35">
        <v>31</v>
      </c>
      <c r="C35" s="12">
        <v>0</v>
      </c>
      <c r="D35" s="10">
        <f t="shared" si="2"/>
        <v>1</v>
      </c>
      <c r="E35" s="10">
        <f t="shared" si="5"/>
        <v>0</v>
      </c>
      <c r="F35" s="10">
        <f t="shared" si="0"/>
        <v>0.29646025766675027</v>
      </c>
      <c r="G35" s="10">
        <f t="shared" si="3"/>
        <v>0</v>
      </c>
      <c r="I35" s="13">
        <f t="shared" si="1"/>
        <v>0</v>
      </c>
      <c r="J35" s="11">
        <f>(SUM(G36:$G$79)*$I$1)</f>
        <v>0</v>
      </c>
      <c r="K35" s="11">
        <f t="shared" si="4"/>
        <v>0</v>
      </c>
      <c r="M35" s="24"/>
      <c r="N35" s="24"/>
      <c r="O35" s="24"/>
      <c r="P35" s="24"/>
    </row>
    <row r="36" spans="2:16" x14ac:dyDescent="0.25">
      <c r="B36">
        <v>32</v>
      </c>
      <c r="C36" s="12">
        <v>0</v>
      </c>
      <c r="D36" s="10">
        <f t="shared" si="2"/>
        <v>1</v>
      </c>
      <c r="E36" s="10">
        <f t="shared" si="5"/>
        <v>0</v>
      </c>
      <c r="F36" s="10">
        <f t="shared" si="0"/>
        <v>0.28505794006418295</v>
      </c>
      <c r="G36" s="10">
        <f t="shared" si="3"/>
        <v>0</v>
      </c>
      <c r="I36" s="13">
        <f t="shared" si="1"/>
        <v>0</v>
      </c>
      <c r="J36" s="11">
        <f>(SUM(G37:$G$79)*$I$1)</f>
        <v>0</v>
      </c>
      <c r="K36" s="11">
        <f t="shared" si="4"/>
        <v>0</v>
      </c>
      <c r="M36" s="24"/>
      <c r="N36" s="24"/>
      <c r="O36" s="24"/>
      <c r="P36" s="24"/>
    </row>
    <row r="37" spans="2:16" x14ac:dyDescent="0.25">
      <c r="B37">
        <v>33</v>
      </c>
      <c r="C37" s="12">
        <v>0</v>
      </c>
      <c r="D37" s="10">
        <f t="shared" si="2"/>
        <v>1</v>
      </c>
      <c r="E37" s="10">
        <f t="shared" si="5"/>
        <v>0</v>
      </c>
      <c r="F37" s="10">
        <f t="shared" si="0"/>
        <v>0.27409417313863743</v>
      </c>
      <c r="G37" s="10">
        <f t="shared" si="3"/>
        <v>0</v>
      </c>
      <c r="I37" s="13">
        <f t="shared" si="1"/>
        <v>0</v>
      </c>
      <c r="J37" s="11">
        <f>(SUM(G38:$G$79)*$I$1)</f>
        <v>0</v>
      </c>
      <c r="K37" s="11">
        <f t="shared" si="4"/>
        <v>0</v>
      </c>
      <c r="M37" s="24"/>
      <c r="N37" s="24"/>
      <c r="O37" s="24"/>
      <c r="P37" s="24"/>
    </row>
    <row r="38" spans="2:16" x14ac:dyDescent="0.25">
      <c r="B38">
        <v>34</v>
      </c>
      <c r="C38" s="12">
        <v>0</v>
      </c>
      <c r="D38" s="10">
        <f t="shared" si="2"/>
        <v>1</v>
      </c>
      <c r="E38" s="10">
        <f t="shared" si="5"/>
        <v>0</v>
      </c>
      <c r="F38" s="10">
        <f t="shared" si="0"/>
        <v>0.26355208955638215</v>
      </c>
      <c r="G38" s="10">
        <f t="shared" si="3"/>
        <v>0</v>
      </c>
      <c r="I38" s="13">
        <f t="shared" si="1"/>
        <v>0</v>
      </c>
      <c r="J38" s="11">
        <f>(SUM(G39:$G$79)*$I$1)</f>
        <v>0</v>
      </c>
      <c r="K38" s="11">
        <f t="shared" si="4"/>
        <v>0</v>
      </c>
      <c r="M38" s="24"/>
      <c r="N38" s="24"/>
      <c r="O38" s="24"/>
      <c r="P38" s="24"/>
    </row>
    <row r="39" spans="2:16" x14ac:dyDescent="0.25">
      <c r="B39">
        <v>35</v>
      </c>
      <c r="C39" s="12">
        <v>0</v>
      </c>
      <c r="D39" s="10">
        <f t="shared" si="2"/>
        <v>1</v>
      </c>
      <c r="E39" s="10">
        <f t="shared" si="5"/>
        <v>0</v>
      </c>
      <c r="F39" s="10">
        <f t="shared" si="0"/>
        <v>0.25341547072729048</v>
      </c>
      <c r="G39" s="10">
        <f t="shared" si="3"/>
        <v>0</v>
      </c>
      <c r="I39" s="13">
        <f t="shared" si="1"/>
        <v>0</v>
      </c>
      <c r="J39" s="11">
        <f>(SUM(G40:$G$79)*$I$1)</f>
        <v>0</v>
      </c>
      <c r="K39" s="11">
        <f t="shared" si="4"/>
        <v>0</v>
      </c>
      <c r="M39" s="24"/>
      <c r="N39" s="24"/>
      <c r="O39" s="24"/>
      <c r="P39" s="24"/>
    </row>
    <row r="40" spans="2:16" x14ac:dyDescent="0.25">
      <c r="B40">
        <v>36</v>
      </c>
      <c r="C40" s="12">
        <v>0</v>
      </c>
      <c r="D40" s="10">
        <f t="shared" si="2"/>
        <v>1</v>
      </c>
      <c r="E40" s="10">
        <f t="shared" si="5"/>
        <v>0</v>
      </c>
      <c r="F40" s="10">
        <f t="shared" si="0"/>
        <v>0.24366872185316396</v>
      </c>
      <c r="G40" s="10">
        <f t="shared" si="3"/>
        <v>0</v>
      </c>
      <c r="I40" s="13">
        <f t="shared" si="1"/>
        <v>0</v>
      </c>
      <c r="J40" s="11">
        <f>(SUM(G41:$G$79)*$I$1)</f>
        <v>0</v>
      </c>
      <c r="K40" s="11">
        <f t="shared" si="4"/>
        <v>0</v>
      </c>
      <c r="M40" s="24"/>
      <c r="N40" s="24"/>
      <c r="O40" s="24"/>
      <c r="P40" s="24"/>
    </row>
    <row r="41" spans="2:16" x14ac:dyDescent="0.25">
      <c r="B41">
        <v>37</v>
      </c>
      <c r="C41" s="12">
        <v>0</v>
      </c>
      <c r="D41" s="10">
        <f t="shared" si="2"/>
        <v>1</v>
      </c>
      <c r="E41" s="10">
        <f t="shared" si="5"/>
        <v>0</v>
      </c>
      <c r="F41" s="10">
        <f t="shared" si="0"/>
        <v>0.23429684793573452</v>
      </c>
      <c r="G41" s="10">
        <f t="shared" si="3"/>
        <v>0</v>
      </c>
      <c r="I41" s="13">
        <f t="shared" si="1"/>
        <v>0</v>
      </c>
      <c r="J41" s="11">
        <f>(SUM(G42:$G$79)*$I$1)</f>
        <v>0</v>
      </c>
      <c r="K41" s="11">
        <f t="shared" si="4"/>
        <v>0</v>
      </c>
      <c r="M41" s="24"/>
      <c r="N41" s="24"/>
      <c r="O41" s="24"/>
      <c r="P41" s="24"/>
    </row>
    <row r="42" spans="2:16" x14ac:dyDescent="0.25">
      <c r="B42">
        <v>38</v>
      </c>
      <c r="C42" s="12">
        <v>0</v>
      </c>
      <c r="D42" s="10">
        <f t="shared" si="2"/>
        <v>1</v>
      </c>
      <c r="E42" s="10">
        <f t="shared" si="5"/>
        <v>0</v>
      </c>
      <c r="F42" s="10">
        <f t="shared" si="0"/>
        <v>0.22528543070743706</v>
      </c>
      <c r="G42" s="10">
        <f t="shared" si="3"/>
        <v>0</v>
      </c>
      <c r="I42" s="13">
        <f t="shared" si="1"/>
        <v>0</v>
      </c>
      <c r="J42" s="11">
        <f>(SUM(G43:$G$79)*$I$1)</f>
        <v>0</v>
      </c>
      <c r="K42" s="11">
        <f t="shared" si="4"/>
        <v>0</v>
      </c>
      <c r="M42" s="24"/>
      <c r="N42" s="24"/>
      <c r="O42" s="24"/>
      <c r="P42" s="24"/>
    </row>
    <row r="43" spans="2:16" x14ac:dyDescent="0.25">
      <c r="B43">
        <v>39</v>
      </c>
      <c r="C43" s="12">
        <v>0</v>
      </c>
      <c r="D43" s="10">
        <f t="shared" si="2"/>
        <v>1</v>
      </c>
      <c r="E43" s="10">
        <f t="shared" si="5"/>
        <v>0</v>
      </c>
      <c r="F43" s="10">
        <f t="shared" si="0"/>
        <v>0.21662060644945874</v>
      </c>
      <c r="G43" s="10">
        <f t="shared" si="3"/>
        <v>0</v>
      </c>
      <c r="I43" s="13">
        <f t="shared" si="1"/>
        <v>0</v>
      </c>
      <c r="J43" s="11">
        <f>(SUM(G44:$G$79)*$I$1)</f>
        <v>0</v>
      </c>
      <c r="K43" s="11">
        <f t="shared" si="4"/>
        <v>0</v>
      </c>
    </row>
    <row r="44" spans="2:16" x14ac:dyDescent="0.25">
      <c r="B44">
        <v>40</v>
      </c>
      <c r="C44" s="12">
        <v>0</v>
      </c>
      <c r="D44" s="10">
        <f t="shared" si="2"/>
        <v>1</v>
      </c>
      <c r="E44" s="10">
        <f t="shared" si="5"/>
        <v>0</v>
      </c>
      <c r="F44" s="10">
        <f t="shared" si="0"/>
        <v>0.20828904466294101</v>
      </c>
      <c r="G44" s="10">
        <f t="shared" si="3"/>
        <v>0</v>
      </c>
      <c r="I44" s="13">
        <f t="shared" si="1"/>
        <v>0</v>
      </c>
      <c r="J44" s="11">
        <f>(SUM(G45:$G$79)*$I$1)</f>
        <v>0</v>
      </c>
      <c r="K44" s="11">
        <f t="shared" si="4"/>
        <v>0</v>
      </c>
    </row>
    <row r="45" spans="2:16" x14ac:dyDescent="0.25">
      <c r="B45">
        <v>41</v>
      </c>
      <c r="C45" s="12">
        <v>0</v>
      </c>
      <c r="D45" s="10">
        <f t="shared" si="2"/>
        <v>1</v>
      </c>
      <c r="E45" s="10">
        <f t="shared" si="5"/>
        <v>0</v>
      </c>
      <c r="F45" s="10">
        <f t="shared" si="0"/>
        <v>0.20027792756052021</v>
      </c>
      <c r="G45" s="10">
        <f t="shared" si="3"/>
        <v>0</v>
      </c>
      <c r="I45" s="13">
        <f t="shared" si="1"/>
        <v>0</v>
      </c>
      <c r="J45" s="11">
        <f>(SUM(G46:$G$79)*$I$1)</f>
        <v>0</v>
      </c>
      <c r="K45" s="11">
        <f t="shared" si="4"/>
        <v>0</v>
      </c>
    </row>
    <row r="46" spans="2:16" x14ac:dyDescent="0.25">
      <c r="B46">
        <v>42</v>
      </c>
      <c r="C46" s="12">
        <v>0</v>
      </c>
      <c r="D46" s="10">
        <f t="shared" si="2"/>
        <v>1</v>
      </c>
      <c r="E46" s="10">
        <f t="shared" si="5"/>
        <v>0</v>
      </c>
      <c r="F46" s="10">
        <f t="shared" si="0"/>
        <v>0.19257493034665407</v>
      </c>
      <c r="G46" s="10">
        <f t="shared" si="3"/>
        <v>0</v>
      </c>
      <c r="I46" s="13">
        <f t="shared" si="1"/>
        <v>0</v>
      </c>
      <c r="J46" s="11">
        <f>(SUM(G47:$G$79)*$I$1)</f>
        <v>0</v>
      </c>
      <c r="K46" s="11">
        <f t="shared" si="4"/>
        <v>0</v>
      </c>
    </row>
    <row r="47" spans="2:16" x14ac:dyDescent="0.25">
      <c r="B47">
        <v>43</v>
      </c>
      <c r="C47" s="12">
        <v>0</v>
      </c>
      <c r="D47" s="10">
        <f t="shared" si="2"/>
        <v>1</v>
      </c>
      <c r="E47" s="10">
        <f t="shared" si="5"/>
        <v>0</v>
      </c>
      <c r="F47" s="10">
        <f t="shared" si="0"/>
        <v>0.18516820225639813</v>
      </c>
      <c r="G47" s="10">
        <f t="shared" si="3"/>
        <v>0</v>
      </c>
      <c r="I47" s="13">
        <f t="shared" si="1"/>
        <v>0</v>
      </c>
      <c r="J47" s="11">
        <f>(SUM(G48:$G$79)*$I$1)</f>
        <v>0</v>
      </c>
      <c r="K47" s="11">
        <f t="shared" si="4"/>
        <v>0</v>
      </c>
    </row>
    <row r="48" spans="2:16" x14ac:dyDescent="0.25">
      <c r="B48">
        <v>44</v>
      </c>
      <c r="C48" s="12">
        <v>0</v>
      </c>
      <c r="D48" s="10">
        <f t="shared" si="2"/>
        <v>1</v>
      </c>
      <c r="E48" s="10">
        <f t="shared" si="5"/>
        <v>0</v>
      </c>
      <c r="F48" s="10">
        <f t="shared" si="0"/>
        <v>0.17804634832345972</v>
      </c>
      <c r="G48" s="10">
        <f t="shared" si="3"/>
        <v>0</v>
      </c>
      <c r="I48" s="13">
        <f t="shared" si="1"/>
        <v>0</v>
      </c>
      <c r="J48" s="11">
        <f>(SUM(G49:$G$79)*$I$1)</f>
        <v>0</v>
      </c>
      <c r="K48" s="11">
        <f t="shared" si="4"/>
        <v>0</v>
      </c>
    </row>
    <row r="49" spans="2:11" x14ac:dyDescent="0.25">
      <c r="B49">
        <v>45</v>
      </c>
      <c r="C49" s="12">
        <v>0</v>
      </c>
      <c r="D49" s="10">
        <f t="shared" si="2"/>
        <v>1</v>
      </c>
      <c r="E49" s="10">
        <f t="shared" si="5"/>
        <v>0</v>
      </c>
      <c r="F49" s="10">
        <f t="shared" si="0"/>
        <v>0.17119841184948048</v>
      </c>
      <c r="G49" s="10">
        <f t="shared" si="3"/>
        <v>0</v>
      </c>
      <c r="I49" s="13">
        <f t="shared" si="1"/>
        <v>0</v>
      </c>
      <c r="J49" s="11">
        <f>(SUM(G50:$G$79)*$I$1)</f>
        <v>0</v>
      </c>
      <c r="K49" s="11">
        <f t="shared" si="4"/>
        <v>0</v>
      </c>
    </row>
    <row r="50" spans="2:11" x14ac:dyDescent="0.25">
      <c r="B50">
        <v>46</v>
      </c>
      <c r="C50" s="12">
        <v>0</v>
      </c>
      <c r="D50" s="10">
        <f t="shared" si="2"/>
        <v>1</v>
      </c>
      <c r="E50" s="10">
        <f t="shared" si="5"/>
        <v>0</v>
      </c>
      <c r="F50" s="10">
        <f t="shared" si="0"/>
        <v>0.1646138575475774</v>
      </c>
      <c r="G50" s="10">
        <f t="shared" si="3"/>
        <v>0</v>
      </c>
      <c r="I50" s="13">
        <f t="shared" si="1"/>
        <v>0</v>
      </c>
      <c r="J50" s="11">
        <f>(SUM(G51:$G$79)*$I$1)</f>
        <v>0</v>
      </c>
      <c r="K50" s="11">
        <f t="shared" si="4"/>
        <v>0</v>
      </c>
    </row>
    <row r="51" spans="2:11" x14ac:dyDescent="0.25">
      <c r="B51">
        <v>47</v>
      </c>
      <c r="C51" s="12">
        <v>0</v>
      </c>
      <c r="D51" s="10">
        <f t="shared" si="2"/>
        <v>1</v>
      </c>
      <c r="E51" s="10">
        <f t="shared" si="5"/>
        <v>0</v>
      </c>
      <c r="F51" s="10">
        <f t="shared" si="0"/>
        <v>0.15828255533420904</v>
      </c>
      <c r="G51" s="10">
        <f t="shared" si="3"/>
        <v>0</v>
      </c>
      <c r="I51" s="13">
        <f t="shared" si="1"/>
        <v>0</v>
      </c>
      <c r="J51" s="11">
        <f>(SUM(G52:$G$79)*$I$1)</f>
        <v>0</v>
      </c>
      <c r="K51" s="11">
        <f t="shared" si="4"/>
        <v>0</v>
      </c>
    </row>
    <row r="52" spans="2:11" x14ac:dyDescent="0.25">
      <c r="B52">
        <v>48</v>
      </c>
      <c r="C52" s="12">
        <v>0</v>
      </c>
      <c r="D52" s="10">
        <f t="shared" si="2"/>
        <v>1</v>
      </c>
      <c r="E52" s="10">
        <f t="shared" si="5"/>
        <v>0</v>
      </c>
      <c r="F52" s="10">
        <f t="shared" si="0"/>
        <v>0.15219476474443175</v>
      </c>
      <c r="G52" s="10">
        <f t="shared" si="3"/>
        <v>0</v>
      </c>
      <c r="I52" s="13">
        <f t="shared" si="1"/>
        <v>0</v>
      </c>
      <c r="J52" s="11">
        <f>(SUM(G53:$G$79)*$I$1)</f>
        <v>0</v>
      </c>
      <c r="K52" s="11">
        <f t="shared" si="4"/>
        <v>0</v>
      </c>
    </row>
    <row r="53" spans="2:11" x14ac:dyDescent="0.25">
      <c r="B53">
        <v>49</v>
      </c>
      <c r="C53" s="12">
        <v>0</v>
      </c>
      <c r="D53" s="10">
        <f t="shared" si="2"/>
        <v>1</v>
      </c>
      <c r="E53" s="10">
        <f t="shared" si="5"/>
        <v>0</v>
      </c>
      <c r="F53" s="10">
        <f t="shared" si="0"/>
        <v>0.14634111994656898</v>
      </c>
      <c r="G53" s="10">
        <f t="shared" si="3"/>
        <v>0</v>
      </c>
      <c r="I53" s="13">
        <f t="shared" si="1"/>
        <v>0</v>
      </c>
      <c r="J53" s="11">
        <f>(SUM(G54:$G$79)*$I$1)</f>
        <v>0</v>
      </c>
      <c r="K53" s="11">
        <f t="shared" si="4"/>
        <v>0</v>
      </c>
    </row>
    <row r="54" spans="2:11" x14ac:dyDescent="0.25">
      <c r="B54">
        <v>50</v>
      </c>
      <c r="C54" s="12">
        <v>0</v>
      </c>
      <c r="D54" s="10">
        <f t="shared" si="2"/>
        <v>1</v>
      </c>
      <c r="E54" s="10">
        <f t="shared" si="5"/>
        <v>0</v>
      </c>
      <c r="F54" s="10">
        <f t="shared" si="0"/>
        <v>0.14071261533323939</v>
      </c>
      <c r="G54" s="10">
        <f t="shared" si="3"/>
        <v>0</v>
      </c>
      <c r="I54" s="13">
        <f t="shared" si="1"/>
        <v>0</v>
      </c>
      <c r="J54" s="11">
        <f>(SUM(G55:$G$79)*$I$1)</f>
        <v>0</v>
      </c>
      <c r="K54" s="11">
        <f t="shared" si="4"/>
        <v>0</v>
      </c>
    </row>
    <row r="55" spans="2:11" x14ac:dyDescent="0.25">
      <c r="B55">
        <v>51</v>
      </c>
      <c r="C55" s="12">
        <v>0</v>
      </c>
      <c r="D55" s="10">
        <f t="shared" si="2"/>
        <v>1</v>
      </c>
      <c r="E55" s="10">
        <f t="shared" si="5"/>
        <v>0</v>
      </c>
      <c r="F55" s="10">
        <f t="shared" si="0"/>
        <v>0.13530059166657632</v>
      </c>
      <c r="G55" s="10">
        <f t="shared" si="3"/>
        <v>0</v>
      </c>
      <c r="I55" s="13">
        <f t="shared" si="1"/>
        <v>0</v>
      </c>
      <c r="J55" s="11">
        <f>(SUM(G56:$G$79)*$I$1)</f>
        <v>0</v>
      </c>
      <c r="K55" s="11">
        <f t="shared" si="4"/>
        <v>0</v>
      </c>
    </row>
    <row r="56" spans="2:11" x14ac:dyDescent="0.25">
      <c r="B56">
        <v>52</v>
      </c>
      <c r="C56" s="12">
        <v>0</v>
      </c>
      <c r="D56" s="10">
        <f t="shared" si="2"/>
        <v>1</v>
      </c>
      <c r="E56" s="10">
        <f t="shared" si="5"/>
        <v>0</v>
      </c>
      <c r="F56" s="10">
        <f t="shared" si="0"/>
        <v>0.13009672275632339</v>
      </c>
      <c r="G56" s="10">
        <f t="shared" si="3"/>
        <v>0</v>
      </c>
      <c r="I56" s="13">
        <f t="shared" si="1"/>
        <v>0</v>
      </c>
      <c r="J56" s="11">
        <f>(SUM(G57:$G$79)*$I$1)</f>
        <v>0</v>
      </c>
      <c r="K56" s="11">
        <f t="shared" si="4"/>
        <v>0</v>
      </c>
    </row>
    <row r="57" spans="2:11" x14ac:dyDescent="0.25">
      <c r="B57">
        <v>53</v>
      </c>
      <c r="C57" s="12">
        <v>0</v>
      </c>
      <c r="D57" s="10">
        <f t="shared" si="2"/>
        <v>1</v>
      </c>
      <c r="E57" s="10">
        <f t="shared" si="5"/>
        <v>0</v>
      </c>
      <c r="F57" s="10">
        <f t="shared" si="0"/>
        <v>0.12509300265031092</v>
      </c>
      <c r="G57" s="10">
        <f t="shared" si="3"/>
        <v>0</v>
      </c>
      <c r="I57" s="13">
        <f t="shared" si="1"/>
        <v>0</v>
      </c>
      <c r="J57" s="11">
        <f>(SUM(G58:$G$79)*$I$1)</f>
        <v>0</v>
      </c>
      <c r="K57" s="11">
        <f t="shared" si="4"/>
        <v>0</v>
      </c>
    </row>
    <row r="58" spans="2:11" x14ac:dyDescent="0.25">
      <c r="B58">
        <v>54</v>
      </c>
      <c r="C58" s="12">
        <v>0</v>
      </c>
      <c r="D58" s="10">
        <f t="shared" si="2"/>
        <v>1</v>
      </c>
      <c r="E58" s="10">
        <f t="shared" si="5"/>
        <v>0</v>
      </c>
      <c r="F58" s="10">
        <f t="shared" si="0"/>
        <v>0.12028173331760666</v>
      </c>
      <c r="G58" s="10">
        <f t="shared" si="3"/>
        <v>0</v>
      </c>
      <c r="I58" s="13">
        <f t="shared" si="1"/>
        <v>0</v>
      </c>
      <c r="J58" s="11">
        <f>(SUM(G59:$G$79)*$I$1)</f>
        <v>0</v>
      </c>
      <c r="K58" s="11">
        <f t="shared" si="4"/>
        <v>0</v>
      </c>
    </row>
    <row r="59" spans="2:11" x14ac:dyDescent="0.25">
      <c r="B59">
        <v>55</v>
      </c>
      <c r="C59" s="12">
        <v>0</v>
      </c>
      <c r="D59" s="10">
        <f t="shared" si="2"/>
        <v>1</v>
      </c>
      <c r="E59" s="10">
        <f t="shared" si="5"/>
        <v>0</v>
      </c>
      <c r="F59" s="10">
        <f t="shared" si="0"/>
        <v>0.11565551280539103</v>
      </c>
      <c r="G59" s="10">
        <f t="shared" si="3"/>
        <v>0</v>
      </c>
      <c r="I59" s="13">
        <f t="shared" si="1"/>
        <v>0</v>
      </c>
      <c r="J59" s="11">
        <f>(SUM(G60:$G$79)*$I$1)</f>
        <v>0</v>
      </c>
      <c r="K59" s="11">
        <f t="shared" si="4"/>
        <v>0</v>
      </c>
    </row>
    <row r="60" spans="2:11" x14ac:dyDescent="0.25">
      <c r="B60">
        <v>56</v>
      </c>
      <c r="C60" s="12">
        <v>0</v>
      </c>
      <c r="D60" s="10">
        <f t="shared" si="2"/>
        <v>1</v>
      </c>
      <c r="E60" s="10">
        <f t="shared" si="5"/>
        <v>0</v>
      </c>
      <c r="F60" s="10">
        <f>IF(D60=0,0,(1+$F$2)^-B60)</f>
        <v>0.11120722385133754</v>
      </c>
      <c r="G60" s="10">
        <f t="shared" si="3"/>
        <v>0</v>
      </c>
      <c r="I60" s="13">
        <f t="shared" si="1"/>
        <v>0</v>
      </c>
      <c r="J60" s="11">
        <f>(SUM(G61:$G$79)*$I$1)</f>
        <v>0</v>
      </c>
      <c r="K60" s="11">
        <f t="shared" si="4"/>
        <v>0</v>
      </c>
    </row>
    <row r="61" spans="2:11" x14ac:dyDescent="0.25">
      <c r="B61">
        <v>57</v>
      </c>
      <c r="C61" s="12">
        <v>0</v>
      </c>
      <c r="D61" s="10">
        <f t="shared" si="2"/>
        <v>1</v>
      </c>
      <c r="E61" s="10">
        <f t="shared" si="5"/>
        <v>0</v>
      </c>
      <c r="F61" s="10">
        <f t="shared" ref="F61:F79" si="6">IF(D61=0,0,(1+$F$2)^-B61)</f>
        <v>0.10693002293397837</v>
      </c>
      <c r="G61" s="10">
        <f t="shared" si="3"/>
        <v>0</v>
      </c>
      <c r="I61" s="13">
        <f t="shared" si="1"/>
        <v>0</v>
      </c>
      <c r="J61" s="11">
        <f>(SUM(G62:$G$79)*$I$1)</f>
        <v>0</v>
      </c>
      <c r="K61" s="11">
        <f t="shared" si="4"/>
        <v>0</v>
      </c>
    </row>
    <row r="62" spans="2:11" x14ac:dyDescent="0.25">
      <c r="B62">
        <v>58</v>
      </c>
      <c r="C62" s="12">
        <v>0</v>
      </c>
      <c r="D62" s="10">
        <f t="shared" si="2"/>
        <v>1</v>
      </c>
      <c r="E62" s="10">
        <f t="shared" si="5"/>
        <v>0</v>
      </c>
      <c r="F62" s="10">
        <f t="shared" si="6"/>
        <v>0.10281732974420998</v>
      </c>
      <c r="G62" s="10">
        <f t="shared" si="3"/>
        <v>0</v>
      </c>
      <c r="I62" s="13">
        <f t="shared" si="1"/>
        <v>0</v>
      </c>
      <c r="J62" s="11">
        <f>(SUM(G63:$G$79)*$I$1)</f>
        <v>0</v>
      </c>
      <c r="K62" s="11">
        <f t="shared" si="4"/>
        <v>0</v>
      </c>
    </row>
    <row r="63" spans="2:11" x14ac:dyDescent="0.25">
      <c r="B63">
        <v>59</v>
      </c>
      <c r="C63" s="12">
        <v>0</v>
      </c>
      <c r="D63" s="10">
        <f t="shared" si="2"/>
        <v>1</v>
      </c>
      <c r="E63" s="10">
        <f t="shared" si="5"/>
        <v>0</v>
      </c>
      <c r="F63" s="10">
        <f t="shared" si="6"/>
        <v>9.8862817061740368E-2</v>
      </c>
      <c r="G63" s="10">
        <f t="shared" si="3"/>
        <v>0</v>
      </c>
      <c r="I63" s="13">
        <f t="shared" si="1"/>
        <v>0</v>
      </c>
      <c r="J63" s="11">
        <f>(SUM(G64:$G$79)*$I$1)</f>
        <v>0</v>
      </c>
      <c r="K63" s="11">
        <f t="shared" si="4"/>
        <v>0</v>
      </c>
    </row>
    <row r="64" spans="2:11" x14ac:dyDescent="0.25">
      <c r="B64">
        <v>60</v>
      </c>
      <c r="C64" s="12">
        <v>0</v>
      </c>
      <c r="D64" s="10">
        <f t="shared" si="2"/>
        <v>1</v>
      </c>
      <c r="E64" s="10">
        <f t="shared" si="5"/>
        <v>0</v>
      </c>
      <c r="F64" s="10">
        <f t="shared" si="6"/>
        <v>9.506040102090417E-2</v>
      </c>
      <c r="G64" s="10">
        <f t="shared" si="3"/>
        <v>0</v>
      </c>
      <c r="I64" s="13">
        <f t="shared" si="1"/>
        <v>0</v>
      </c>
      <c r="J64" s="11">
        <f>(SUM(G65:$G$79)*$I$1)</f>
        <v>0</v>
      </c>
      <c r="K64" s="11">
        <f t="shared" si="4"/>
        <v>0</v>
      </c>
    </row>
    <row r="65" spans="2:11" x14ac:dyDescent="0.25">
      <c r="B65">
        <v>61</v>
      </c>
      <c r="C65" s="12">
        <v>0</v>
      </c>
      <c r="D65" s="10">
        <f t="shared" si="2"/>
        <v>1</v>
      </c>
      <c r="E65" s="10">
        <f t="shared" si="5"/>
        <v>0</v>
      </c>
      <c r="F65" s="10">
        <f t="shared" si="6"/>
        <v>9.1404231750869397E-2</v>
      </c>
      <c r="G65" s="10">
        <f t="shared" si="3"/>
        <v>0</v>
      </c>
      <c r="I65" s="13">
        <f t="shared" si="1"/>
        <v>0</v>
      </c>
      <c r="J65" s="11">
        <f>(SUM(G66:$G$79)*$I$1)</f>
        <v>0</v>
      </c>
      <c r="K65" s="11">
        <f t="shared" si="4"/>
        <v>0</v>
      </c>
    </row>
    <row r="66" spans="2:11" x14ac:dyDescent="0.25">
      <c r="B66">
        <v>62</v>
      </c>
      <c r="C66" s="12">
        <v>0</v>
      </c>
      <c r="D66" s="10">
        <f t="shared" si="2"/>
        <v>1</v>
      </c>
      <c r="E66" s="10">
        <f t="shared" si="5"/>
        <v>0</v>
      </c>
      <c r="F66" s="10">
        <f t="shared" si="6"/>
        <v>8.7888684375835968E-2</v>
      </c>
      <c r="G66" s="10">
        <f t="shared" si="3"/>
        <v>0</v>
      </c>
      <c r="I66" s="13">
        <f t="shared" si="1"/>
        <v>0</v>
      </c>
      <c r="J66" s="11">
        <f>(SUM(G67:$G$79)*$I$1)</f>
        <v>0</v>
      </c>
      <c r="K66" s="11">
        <f t="shared" si="4"/>
        <v>0</v>
      </c>
    </row>
    <row r="67" spans="2:11" x14ac:dyDescent="0.25">
      <c r="B67">
        <v>63</v>
      </c>
      <c r="C67" s="12">
        <v>0</v>
      </c>
      <c r="D67" s="10">
        <f t="shared" si="2"/>
        <v>1</v>
      </c>
      <c r="E67" s="10">
        <f t="shared" si="5"/>
        <v>0</v>
      </c>
      <c r="F67" s="10">
        <f t="shared" si="6"/>
        <v>8.4508350361380741E-2</v>
      </c>
      <c r="G67" s="10">
        <f t="shared" si="3"/>
        <v>0</v>
      </c>
      <c r="I67" s="13">
        <f t="shared" si="1"/>
        <v>0</v>
      </c>
      <c r="J67" s="11">
        <f>(SUM(G68:$G$79)*$I$1)</f>
        <v>0</v>
      </c>
      <c r="K67" s="11">
        <f t="shared" si="4"/>
        <v>0</v>
      </c>
    </row>
    <row r="68" spans="2:11" x14ac:dyDescent="0.25">
      <c r="B68">
        <v>64</v>
      </c>
      <c r="C68" s="12">
        <v>0</v>
      </c>
      <c r="D68" s="10">
        <f t="shared" si="2"/>
        <v>1</v>
      </c>
      <c r="E68" s="10">
        <f t="shared" si="5"/>
        <v>0</v>
      </c>
      <c r="F68" s="10">
        <f t="shared" si="6"/>
        <v>8.1258029193635312E-2</v>
      </c>
      <c r="G68" s="10">
        <f t="shared" si="3"/>
        <v>0</v>
      </c>
      <c r="I68" s="13">
        <f t="shared" si="1"/>
        <v>0</v>
      </c>
      <c r="J68" s="11">
        <f>(SUM(G69:$G$79)*$I$1)</f>
        <v>0</v>
      </c>
      <c r="K68" s="11">
        <f t="shared" si="4"/>
        <v>0</v>
      </c>
    </row>
    <row r="69" spans="2:11" x14ac:dyDescent="0.25">
      <c r="B69">
        <v>65</v>
      </c>
      <c r="C69" s="12">
        <v>0</v>
      </c>
      <c r="D69" s="10">
        <f t="shared" si="2"/>
        <v>1</v>
      </c>
      <c r="E69" s="10">
        <f t="shared" si="5"/>
        <v>0</v>
      </c>
      <c r="F69" s="10">
        <f t="shared" si="6"/>
        <v>7.8132720378495488E-2</v>
      </c>
      <c r="G69" s="10">
        <f t="shared" si="3"/>
        <v>0</v>
      </c>
      <c r="I69" s="13">
        <f t="shared" ref="I69:I79" si="7">E69*$I$1</f>
        <v>0</v>
      </c>
      <c r="J69" s="11">
        <f>(SUM(G70:$G$79)*$I$1)</f>
        <v>0</v>
      </c>
      <c r="K69" s="11">
        <f t="shared" si="4"/>
        <v>0</v>
      </c>
    </row>
    <row r="70" spans="2:11" x14ac:dyDescent="0.25">
      <c r="B70">
        <v>66</v>
      </c>
      <c r="C70" s="12">
        <v>0</v>
      </c>
      <c r="D70" s="10">
        <f t="shared" ref="D70:D79" si="8">1-C70</f>
        <v>1</v>
      </c>
      <c r="E70" s="10">
        <f t="shared" si="5"/>
        <v>0</v>
      </c>
      <c r="F70" s="10">
        <f t="shared" si="6"/>
        <v>7.5127615748553353E-2</v>
      </c>
      <c r="G70" s="10">
        <f t="shared" ref="G70:G79" si="9">F70*E70</f>
        <v>0</v>
      </c>
      <c r="I70" s="13">
        <f t="shared" si="7"/>
        <v>0</v>
      </c>
      <c r="J70" s="11">
        <f>(SUM(G71:$G$79)*$I$1)</f>
        <v>0</v>
      </c>
      <c r="K70" s="11">
        <f t="shared" ref="K70:K79" si="10">J70-J69</f>
        <v>0</v>
      </c>
    </row>
    <row r="71" spans="2:11" x14ac:dyDescent="0.25">
      <c r="B71">
        <v>67</v>
      </c>
      <c r="C71" s="12">
        <v>0</v>
      </c>
      <c r="D71" s="10">
        <f t="shared" si="8"/>
        <v>1</v>
      </c>
      <c r="E71" s="10">
        <f t="shared" ref="E71:E79" si="11">E70*D71</f>
        <v>0</v>
      </c>
      <c r="F71" s="10">
        <f t="shared" si="6"/>
        <v>7.2238092065916693E-2</v>
      </c>
      <c r="G71" s="10">
        <f t="shared" si="9"/>
        <v>0</v>
      </c>
      <c r="I71" s="13">
        <f t="shared" si="7"/>
        <v>0</v>
      </c>
      <c r="J71" s="11">
        <f>(SUM(G72:$G$79)*$I$1)</f>
        <v>0</v>
      </c>
      <c r="K71" s="11">
        <f t="shared" si="10"/>
        <v>0</v>
      </c>
    </row>
    <row r="72" spans="2:11" x14ac:dyDescent="0.25">
      <c r="B72">
        <v>68</v>
      </c>
      <c r="C72" s="12">
        <v>0</v>
      </c>
      <c r="D72" s="10">
        <f t="shared" si="8"/>
        <v>1</v>
      </c>
      <c r="E72" s="10">
        <f t="shared" si="11"/>
        <v>0</v>
      </c>
      <c r="F72" s="10">
        <f t="shared" si="6"/>
        <v>6.9459703909535264E-2</v>
      </c>
      <c r="G72" s="10">
        <f t="shared" si="9"/>
        <v>0</v>
      </c>
      <c r="I72" s="13">
        <f t="shared" si="7"/>
        <v>0</v>
      </c>
      <c r="J72" s="11">
        <f>(SUM(G73:$G$79)*$I$1)</f>
        <v>0</v>
      </c>
      <c r="K72" s="11">
        <f t="shared" si="10"/>
        <v>0</v>
      </c>
    </row>
    <row r="73" spans="2:11" x14ac:dyDescent="0.25">
      <c r="B73">
        <v>69</v>
      </c>
      <c r="C73" s="12">
        <v>0</v>
      </c>
      <c r="D73" s="10">
        <f t="shared" si="8"/>
        <v>1</v>
      </c>
      <c r="E73" s="10">
        <f t="shared" si="11"/>
        <v>0</v>
      </c>
      <c r="F73" s="10">
        <f t="shared" si="6"/>
        <v>6.6788176836091603E-2</v>
      </c>
      <c r="G73" s="10">
        <f t="shared" si="9"/>
        <v>0</v>
      </c>
      <c r="I73" s="13">
        <f t="shared" si="7"/>
        <v>0</v>
      </c>
      <c r="J73" s="11">
        <f>(SUM(G74:$G$79)*$I$1)</f>
        <v>0</v>
      </c>
      <c r="K73" s="11">
        <f t="shared" si="10"/>
        <v>0</v>
      </c>
    </row>
    <row r="74" spans="2:11" x14ac:dyDescent="0.25">
      <c r="B74">
        <v>70</v>
      </c>
      <c r="C74" s="12">
        <v>0</v>
      </c>
      <c r="D74" s="10">
        <f t="shared" si="8"/>
        <v>1</v>
      </c>
      <c r="E74" s="10">
        <f t="shared" si="11"/>
        <v>0</v>
      </c>
      <c r="F74" s="10">
        <f t="shared" si="6"/>
        <v>6.4219400803934235E-2</v>
      </c>
      <c r="G74" s="10">
        <f t="shared" si="9"/>
        <v>0</v>
      </c>
      <c r="I74" s="13">
        <f t="shared" si="7"/>
        <v>0</v>
      </c>
      <c r="J74" s="11">
        <f>(SUM(G75:$G$79)*$I$1)</f>
        <v>0</v>
      </c>
      <c r="K74" s="11">
        <f t="shared" si="10"/>
        <v>0</v>
      </c>
    </row>
    <row r="75" spans="2:11" x14ac:dyDescent="0.25">
      <c r="B75">
        <v>71</v>
      </c>
      <c r="C75" s="12">
        <v>0</v>
      </c>
      <c r="D75" s="10">
        <f t="shared" si="8"/>
        <v>1</v>
      </c>
      <c r="E75" s="10">
        <f t="shared" si="11"/>
        <v>0</v>
      </c>
      <c r="F75" s="10">
        <f t="shared" si="6"/>
        <v>6.1749423849936765E-2</v>
      </c>
      <c r="G75" s="10">
        <f t="shared" si="9"/>
        <v>0</v>
      </c>
      <c r="I75" s="13">
        <f t="shared" si="7"/>
        <v>0</v>
      </c>
      <c r="J75" s="11">
        <f>(SUM(G76:$G$79)*$I$1)</f>
        <v>0</v>
      </c>
      <c r="K75" s="11">
        <f t="shared" si="10"/>
        <v>0</v>
      </c>
    </row>
    <row r="76" spans="2:11" x14ac:dyDescent="0.25">
      <c r="B76">
        <v>72</v>
      </c>
      <c r="C76" s="12">
        <v>0</v>
      </c>
      <c r="D76" s="10">
        <f t="shared" si="8"/>
        <v>1</v>
      </c>
      <c r="E76" s="10">
        <f t="shared" si="11"/>
        <v>0</v>
      </c>
      <c r="F76" s="10">
        <f t="shared" si="6"/>
        <v>5.937444600955457E-2</v>
      </c>
      <c r="G76" s="10">
        <f t="shared" si="9"/>
        <v>0</v>
      </c>
      <c r="I76" s="13">
        <f t="shared" si="7"/>
        <v>0</v>
      </c>
      <c r="J76" s="11">
        <f>(SUM(G77:$G$79)*$I$1)</f>
        <v>0</v>
      </c>
      <c r="K76" s="11">
        <f t="shared" si="10"/>
        <v>0</v>
      </c>
    </row>
    <row r="77" spans="2:11" x14ac:dyDescent="0.25">
      <c r="B77">
        <v>73</v>
      </c>
      <c r="C77" s="12">
        <v>0</v>
      </c>
      <c r="D77" s="10">
        <f t="shared" si="8"/>
        <v>1</v>
      </c>
      <c r="E77" s="10">
        <f t="shared" si="11"/>
        <v>0</v>
      </c>
      <c r="F77" s="10">
        <f t="shared" si="6"/>
        <v>5.7090813470725546E-2</v>
      </c>
      <c r="G77" s="10">
        <f t="shared" si="9"/>
        <v>0</v>
      </c>
      <c r="I77" s="13">
        <f t="shared" si="7"/>
        <v>0</v>
      </c>
      <c r="J77" s="11">
        <f>(SUM(G78:$G$79)*$I$1)</f>
        <v>0</v>
      </c>
      <c r="K77" s="11">
        <f t="shared" si="10"/>
        <v>0</v>
      </c>
    </row>
    <row r="78" spans="2:11" x14ac:dyDescent="0.25">
      <c r="B78">
        <v>74</v>
      </c>
      <c r="C78" s="12">
        <v>0</v>
      </c>
      <c r="D78" s="10">
        <f t="shared" si="8"/>
        <v>1</v>
      </c>
      <c r="E78" s="10">
        <f t="shared" si="11"/>
        <v>0</v>
      </c>
      <c r="F78" s="10">
        <f t="shared" si="6"/>
        <v>5.4895012952620711E-2</v>
      </c>
      <c r="G78" s="10">
        <f t="shared" si="9"/>
        <v>0</v>
      </c>
      <c r="I78" s="13">
        <f t="shared" si="7"/>
        <v>0</v>
      </c>
      <c r="J78" s="11">
        <f>(SUM(G79:$G$79)*$I$1)</f>
        <v>0</v>
      </c>
      <c r="K78" s="11">
        <f t="shared" si="10"/>
        <v>0</v>
      </c>
    </row>
    <row r="79" spans="2:11" x14ac:dyDescent="0.25">
      <c r="B79">
        <v>75</v>
      </c>
      <c r="C79" s="12">
        <v>0</v>
      </c>
      <c r="D79" s="10">
        <f t="shared" si="8"/>
        <v>1</v>
      </c>
      <c r="E79" s="10">
        <f t="shared" si="11"/>
        <v>0</v>
      </c>
      <c r="F79" s="10">
        <f t="shared" si="6"/>
        <v>5.2783666300596846E-2</v>
      </c>
      <c r="G79" s="10">
        <f t="shared" si="9"/>
        <v>0</v>
      </c>
      <c r="I79" s="13">
        <f t="shared" si="7"/>
        <v>0</v>
      </c>
      <c r="J79" s="11">
        <f>(SUM(G$79:$G80)*$I$1)</f>
        <v>0</v>
      </c>
      <c r="K79" s="11">
        <f t="shared" si="10"/>
        <v>0</v>
      </c>
    </row>
    <row r="80" spans="2:11" x14ac:dyDescent="0.25">
      <c r="C80" s="25"/>
    </row>
    <row r="81" spans="3:5" x14ac:dyDescent="0.25">
      <c r="C81" s="25"/>
    </row>
    <row r="82" spans="3:5" x14ac:dyDescent="0.25">
      <c r="D82" s="35"/>
      <c r="E82" s="35"/>
    </row>
    <row r="83" spans="3:5" x14ac:dyDescent="0.25">
      <c r="D83" s="35"/>
      <c r="E83" s="35"/>
    </row>
    <row r="84" spans="3:5" x14ac:dyDescent="0.25">
      <c r="D84" s="35"/>
      <c r="E84" s="35"/>
    </row>
    <row r="85" spans="3:5" x14ac:dyDescent="0.25">
      <c r="D85" s="35"/>
      <c r="E85" s="35"/>
    </row>
    <row r="86" spans="3:5" x14ac:dyDescent="0.25">
      <c r="D86" s="35"/>
      <c r="E86" s="35"/>
    </row>
    <row r="87" spans="3:5" x14ac:dyDescent="0.25">
      <c r="D87" s="35"/>
      <c r="E87" s="35"/>
    </row>
    <row r="88" spans="3:5" x14ac:dyDescent="0.25">
      <c r="D88" s="35"/>
      <c r="E88" s="35"/>
    </row>
    <row r="90" spans="3:5" x14ac:dyDescent="0.25">
      <c r="C90" s="25"/>
    </row>
    <row r="91" spans="3:5" x14ac:dyDescent="0.25">
      <c r="C91" s="25"/>
    </row>
    <row r="92" spans="3:5" x14ac:dyDescent="0.25">
      <c r="C92" s="25"/>
    </row>
    <row r="93" spans="3:5" x14ac:dyDescent="0.25">
      <c r="C93" s="25"/>
    </row>
    <row r="94" spans="3:5" x14ac:dyDescent="0.25">
      <c r="C94" s="25"/>
    </row>
    <row r="95" spans="3:5" x14ac:dyDescent="0.25">
      <c r="C95" s="25"/>
    </row>
    <row r="96" spans="3:5" x14ac:dyDescent="0.25">
      <c r="C96" s="25"/>
    </row>
    <row r="97" spans="3:3" x14ac:dyDescent="0.25">
      <c r="C97" s="25"/>
    </row>
    <row r="98" spans="3:3" x14ac:dyDescent="0.25">
      <c r="C98" s="25"/>
    </row>
    <row r="99" spans="3:3" x14ac:dyDescent="0.25">
      <c r="C99" s="25"/>
    </row>
    <row r="100" spans="3:3" x14ac:dyDescent="0.25">
      <c r="C100" s="25"/>
    </row>
    <row r="101" spans="3:3" x14ac:dyDescent="0.25">
      <c r="C101" s="25"/>
    </row>
    <row r="102" spans="3:3" x14ac:dyDescent="0.25">
      <c r="C102" s="25"/>
    </row>
    <row r="103" spans="3:3" x14ac:dyDescent="0.25">
      <c r="C103" s="25"/>
    </row>
    <row r="104" spans="3:3" x14ac:dyDescent="0.25">
      <c r="C104" s="25"/>
    </row>
    <row r="105" spans="3:3" x14ac:dyDescent="0.25">
      <c r="C105" s="25"/>
    </row>
    <row r="106" spans="3:3" x14ac:dyDescent="0.25">
      <c r="C106" s="25"/>
    </row>
    <row r="107" spans="3:3" x14ac:dyDescent="0.25">
      <c r="C107" s="25"/>
    </row>
    <row r="108" spans="3:3" x14ac:dyDescent="0.25">
      <c r="C108" s="25"/>
    </row>
    <row r="109" spans="3:3" x14ac:dyDescent="0.25">
      <c r="C109" s="25"/>
    </row>
    <row r="110" spans="3:3" x14ac:dyDescent="0.25">
      <c r="C110" s="25"/>
    </row>
    <row r="111" spans="3:3" x14ac:dyDescent="0.25">
      <c r="C111" s="25"/>
    </row>
    <row r="112" spans="3:3" x14ac:dyDescent="0.25">
      <c r="C112" s="25"/>
    </row>
    <row r="113" spans="3:3" x14ac:dyDescent="0.25">
      <c r="C113" s="25"/>
    </row>
    <row r="114" spans="3:3" x14ac:dyDescent="0.25">
      <c r="C114" s="25"/>
    </row>
    <row r="115" spans="3:3" x14ac:dyDescent="0.25">
      <c r="C115" s="25"/>
    </row>
    <row r="116" spans="3:3" x14ac:dyDescent="0.25">
      <c r="C116" s="25"/>
    </row>
    <row r="117" spans="3:3" x14ac:dyDescent="0.25">
      <c r="C117" s="25"/>
    </row>
    <row r="118" spans="3:3" x14ac:dyDescent="0.25">
      <c r="C118" s="25"/>
    </row>
    <row r="119" spans="3:3" x14ac:dyDescent="0.25">
      <c r="C119" s="25"/>
    </row>
    <row r="120" spans="3:3" x14ac:dyDescent="0.25">
      <c r="C120" s="25"/>
    </row>
    <row r="121" spans="3:3" x14ac:dyDescent="0.25">
      <c r="C121" s="25"/>
    </row>
    <row r="122" spans="3:3" x14ac:dyDescent="0.25">
      <c r="C122" s="25"/>
    </row>
    <row r="123" spans="3:3" x14ac:dyDescent="0.25">
      <c r="C123" s="25"/>
    </row>
    <row r="124" spans="3:3" x14ac:dyDescent="0.25">
      <c r="C124" s="25"/>
    </row>
    <row r="125" spans="3:3" x14ac:dyDescent="0.25">
      <c r="C125" s="25"/>
    </row>
    <row r="126" spans="3:3" x14ac:dyDescent="0.25">
      <c r="C126" s="25"/>
    </row>
    <row r="127" spans="3:3" x14ac:dyDescent="0.25">
      <c r="C127" s="25"/>
    </row>
    <row r="128" spans="3:3" x14ac:dyDescent="0.25">
      <c r="C128" s="25"/>
    </row>
    <row r="129" spans="3:3" x14ac:dyDescent="0.25">
      <c r="C129" s="25"/>
    </row>
    <row r="130" spans="3:3" x14ac:dyDescent="0.25">
      <c r="C130" s="25"/>
    </row>
    <row r="131" spans="3:3" x14ac:dyDescent="0.25">
      <c r="C131" s="25"/>
    </row>
    <row r="132" spans="3:3" x14ac:dyDescent="0.25">
      <c r="C132" s="25"/>
    </row>
    <row r="133" spans="3:3" x14ac:dyDescent="0.25">
      <c r="C133" s="25"/>
    </row>
    <row r="134" spans="3:3" x14ac:dyDescent="0.25">
      <c r="C134" s="25"/>
    </row>
    <row r="135" spans="3:3" x14ac:dyDescent="0.25">
      <c r="C135" s="25"/>
    </row>
    <row r="136" spans="3:3" x14ac:dyDescent="0.25">
      <c r="C136" s="25"/>
    </row>
    <row r="137" spans="3:3" x14ac:dyDescent="0.25">
      <c r="C137" s="25"/>
    </row>
    <row r="138" spans="3:3" x14ac:dyDescent="0.25">
      <c r="C138" s="25"/>
    </row>
    <row r="139" spans="3:3" x14ac:dyDescent="0.25">
      <c r="C139" s="25"/>
    </row>
    <row r="140" spans="3:3" x14ac:dyDescent="0.25">
      <c r="C140" s="25"/>
    </row>
    <row r="141" spans="3:3" x14ac:dyDescent="0.25">
      <c r="C141" s="25"/>
    </row>
    <row r="142" spans="3:3" x14ac:dyDescent="0.25">
      <c r="C142" s="25"/>
    </row>
    <row r="143" spans="3:3" x14ac:dyDescent="0.25">
      <c r="C143" s="25"/>
    </row>
    <row r="144" spans="3:3"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hyperlinks>
    <hyperlink ref="J1" location="'Read Me'!A1" display="Return to 'Read Me'"/>
    <hyperlink ref="J2" location="Summary!A1" display="Return to 'Summary'"/>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04"/>
  <sheetViews>
    <sheetView topLeftCell="A73" workbookViewId="0">
      <selection activeCell="C81" sqref="C81:E88"/>
    </sheetView>
  </sheetViews>
  <sheetFormatPr defaultRowHeight="15" x14ac:dyDescent="0.25"/>
  <cols>
    <col min="3" max="7" width="10" bestFit="1" customWidth="1"/>
    <col min="9" max="10" width="13.25" customWidth="1"/>
    <col min="11" max="11" width="11.75" customWidth="1"/>
    <col min="12" max="12" width="11.875" customWidth="1"/>
    <col min="13" max="13" width="11.625" bestFit="1" customWidth="1"/>
    <col min="14" max="15" width="11.625" customWidth="1"/>
  </cols>
  <sheetData>
    <row r="1" spans="2:16" x14ac:dyDescent="0.25">
      <c r="B1" t="s">
        <v>50</v>
      </c>
      <c r="I1" s="3">
        <v>5000</v>
      </c>
      <c r="J1" s="181" t="s">
        <v>173</v>
      </c>
      <c r="L1" s="1"/>
      <c r="M1" s="4"/>
      <c r="N1" s="4"/>
      <c r="O1" s="4"/>
    </row>
    <row r="2" spans="2:16" ht="15" customHeight="1" x14ac:dyDescent="0.25">
      <c r="F2" s="5">
        <f>'Asset and Liability Durations'!I11</f>
        <v>0.04</v>
      </c>
      <c r="J2" s="166" t="s">
        <v>174</v>
      </c>
      <c r="L2" s="6"/>
      <c r="M2" s="4"/>
      <c r="N2" s="4"/>
      <c r="O2" s="4"/>
    </row>
    <row r="3" spans="2:16" ht="45" x14ac:dyDescent="0.25">
      <c r="B3" s="7" t="s">
        <v>7</v>
      </c>
      <c r="C3" s="8" t="s">
        <v>8</v>
      </c>
      <c r="D3" s="7" t="s">
        <v>9</v>
      </c>
      <c r="E3" s="7" t="s">
        <v>10</v>
      </c>
      <c r="F3" s="7" t="s">
        <v>11</v>
      </c>
      <c r="G3" s="7" t="s">
        <v>12</v>
      </c>
      <c r="I3" s="7" t="s">
        <v>13</v>
      </c>
      <c r="J3" s="7" t="s">
        <v>14</v>
      </c>
      <c r="L3" s="7" t="s">
        <v>15</v>
      </c>
      <c r="M3" s="9">
        <f>+SUMPRODUCT(B5:B59,I5:I59,F5:F59)/SUMPRODUCT(F5:F59,I5:I59)</f>
        <v>7.2720873608850498</v>
      </c>
      <c r="N3" s="10"/>
      <c r="O3" s="10"/>
    </row>
    <row r="4" spans="2:16" x14ac:dyDescent="0.25">
      <c r="B4">
        <v>0</v>
      </c>
      <c r="C4" s="8"/>
      <c r="D4" s="7"/>
      <c r="E4" s="7"/>
      <c r="F4" s="7"/>
      <c r="G4" s="10">
        <v>1</v>
      </c>
      <c r="J4" s="11">
        <f>(SUM(G5:$G$79)*$I$1)</f>
        <v>55591.9371608406</v>
      </c>
    </row>
    <row r="5" spans="2:16" ht="15.75" thickBot="1" x14ac:dyDescent="0.3">
      <c r="B5">
        <v>1</v>
      </c>
      <c r="C5" s="12">
        <v>0</v>
      </c>
      <c r="D5" s="10">
        <f>1-C5</f>
        <v>1</v>
      </c>
      <c r="E5" s="10">
        <f>D5</f>
        <v>1</v>
      </c>
      <c r="F5" s="10">
        <f t="shared" ref="F5:F59" si="0">IF(D5=0,0,(1+$F$2)^-B5)</f>
        <v>0.96153846153846145</v>
      </c>
      <c r="G5" s="10">
        <f>F5*E5</f>
        <v>0.96153846153846145</v>
      </c>
      <c r="I5" s="13">
        <f t="shared" ref="I5:I68" si="1">E5*$I$1</f>
        <v>5000</v>
      </c>
      <c r="J5" s="11">
        <f>(SUM(G6:$G$79)*$I$1)</f>
        <v>50784.244853148281</v>
      </c>
      <c r="K5" s="11">
        <f>J5-J4</f>
        <v>-4807.6923076923194</v>
      </c>
      <c r="L5" s="14" t="s">
        <v>16</v>
      </c>
      <c r="M5" s="14" t="s">
        <v>17</v>
      </c>
      <c r="N5" s="14" t="s">
        <v>18</v>
      </c>
      <c r="O5" s="14" t="s">
        <v>47</v>
      </c>
    </row>
    <row r="6" spans="2:16" x14ac:dyDescent="0.25">
      <c r="B6">
        <v>2</v>
      </c>
      <c r="C6" s="12">
        <v>0</v>
      </c>
      <c r="D6" s="10">
        <f t="shared" ref="D6:D69" si="2">1-C6</f>
        <v>1</v>
      </c>
      <c r="E6" s="10">
        <f>E5*D6</f>
        <v>1</v>
      </c>
      <c r="F6" s="10">
        <f t="shared" si="0"/>
        <v>0.92455621301775137</v>
      </c>
      <c r="G6" s="10">
        <f t="shared" ref="G6:G69" si="3">F6*E6</f>
        <v>0.92455621301775137</v>
      </c>
      <c r="I6" s="13">
        <f t="shared" si="1"/>
        <v>5000</v>
      </c>
      <c r="J6" s="11">
        <f>(SUM(G7:$G$79)*$I$1)</f>
        <v>46161.463788059526</v>
      </c>
      <c r="K6" s="11">
        <f t="shared" ref="K6:K69" si="4">J6-J5</f>
        <v>-4622.781065088755</v>
      </c>
      <c r="L6" s="14">
        <v>2</v>
      </c>
      <c r="M6" s="54" t="s">
        <v>44</v>
      </c>
      <c r="N6" s="15">
        <f>SUM(I5:I7)</f>
        <v>15000</v>
      </c>
      <c r="O6" s="16">
        <f>N6/SUM($N$6:$N$9)</f>
        <v>0.2</v>
      </c>
    </row>
    <row r="7" spans="2:16" x14ac:dyDescent="0.25">
      <c r="B7">
        <v>3</v>
      </c>
      <c r="C7" s="12">
        <v>0</v>
      </c>
      <c r="D7" s="10">
        <f t="shared" si="2"/>
        <v>1</v>
      </c>
      <c r="E7" s="10">
        <f t="shared" ref="E7:E70" si="5">E6*D7</f>
        <v>1</v>
      </c>
      <c r="F7" s="10">
        <f t="shared" si="0"/>
        <v>0.88899635867091487</v>
      </c>
      <c r="G7" s="10">
        <f t="shared" si="3"/>
        <v>0.88899635867091487</v>
      </c>
      <c r="I7" s="13">
        <f t="shared" si="1"/>
        <v>5000</v>
      </c>
      <c r="J7" s="11">
        <f>(SUM(G8:$G$79)*$I$1)</f>
        <v>41716.481994704947</v>
      </c>
      <c r="K7" s="11">
        <f t="shared" si="4"/>
        <v>-4444.9817933545783</v>
      </c>
      <c r="L7" s="14">
        <v>5</v>
      </c>
      <c r="M7" s="19" t="s">
        <v>45</v>
      </c>
      <c r="N7" s="17">
        <f>SUM(I8:I11)</f>
        <v>20000</v>
      </c>
      <c r="O7" s="18">
        <f>N7/SUM($N$6:$N$9)</f>
        <v>0.26666666666666666</v>
      </c>
    </row>
    <row r="8" spans="2:16" x14ac:dyDescent="0.25">
      <c r="B8">
        <v>4</v>
      </c>
      <c r="C8" s="12">
        <v>0</v>
      </c>
      <c r="D8" s="10">
        <f t="shared" si="2"/>
        <v>1</v>
      </c>
      <c r="E8" s="10">
        <f t="shared" si="5"/>
        <v>1</v>
      </c>
      <c r="F8" s="10">
        <f t="shared" si="0"/>
        <v>0.85480419102972571</v>
      </c>
      <c r="G8" s="10">
        <f t="shared" si="3"/>
        <v>0.85480419102972571</v>
      </c>
      <c r="I8" s="13">
        <f t="shared" si="1"/>
        <v>5000</v>
      </c>
      <c r="J8" s="11">
        <f>(SUM(G9:$G$79)*$I$1)</f>
        <v>37442.461039556329</v>
      </c>
      <c r="K8" s="11">
        <f t="shared" si="4"/>
        <v>-4274.0209551486187</v>
      </c>
      <c r="L8" s="14">
        <v>10</v>
      </c>
      <c r="M8" s="19" t="s">
        <v>46</v>
      </c>
      <c r="N8" s="17">
        <f>SUM(I12:I19)</f>
        <v>40000</v>
      </c>
      <c r="O8" s="18">
        <f>N8/SUM($N$6:$N$9)</f>
        <v>0.53333333333333333</v>
      </c>
    </row>
    <row r="9" spans="2:16" ht="15.75" thickBot="1" x14ac:dyDescent="0.3">
      <c r="B9">
        <v>5</v>
      </c>
      <c r="C9" s="12">
        <v>0</v>
      </c>
      <c r="D9" s="10">
        <f t="shared" si="2"/>
        <v>1</v>
      </c>
      <c r="E9" s="10">
        <f t="shared" si="5"/>
        <v>1</v>
      </c>
      <c r="F9" s="10">
        <f t="shared" si="0"/>
        <v>0.82192710675935154</v>
      </c>
      <c r="G9" s="10">
        <f t="shared" si="3"/>
        <v>0.82192710675935154</v>
      </c>
      <c r="I9" s="13">
        <f t="shared" si="1"/>
        <v>5000</v>
      </c>
      <c r="J9" s="11">
        <f>(SUM(G10:$G$79)*$I$1)</f>
        <v>33332.825505759567</v>
      </c>
      <c r="K9" s="11">
        <f t="shared" si="4"/>
        <v>-4109.6355337967616</v>
      </c>
      <c r="L9" s="14">
        <v>30</v>
      </c>
      <c r="M9" s="20" t="s">
        <v>48</v>
      </c>
      <c r="N9" s="21">
        <f>SUM(I20:I70)</f>
        <v>0</v>
      </c>
      <c r="O9" s="22">
        <f>N9/SUM($N$6:$N$9)</f>
        <v>0</v>
      </c>
    </row>
    <row r="10" spans="2:16" x14ac:dyDescent="0.25">
      <c r="B10">
        <v>6</v>
      </c>
      <c r="C10" s="12">
        <v>0</v>
      </c>
      <c r="D10" s="10">
        <f t="shared" si="2"/>
        <v>1</v>
      </c>
      <c r="E10" s="10">
        <f t="shared" si="5"/>
        <v>1</v>
      </c>
      <c r="F10" s="10">
        <f t="shared" si="0"/>
        <v>0.79031452573014571</v>
      </c>
      <c r="G10" s="10">
        <f t="shared" si="3"/>
        <v>0.79031452573014571</v>
      </c>
      <c r="I10" s="13">
        <f t="shared" si="1"/>
        <v>5000</v>
      </c>
      <c r="J10" s="11">
        <f>(SUM(G11:$G$79)*$I$1)</f>
        <v>29381.25287710884</v>
      </c>
      <c r="K10" s="11">
        <f t="shared" si="4"/>
        <v>-3951.572628650727</v>
      </c>
      <c r="L10" s="53">
        <f>+SUMPRODUCT(L6:L9,O6:O9)</f>
        <v>7.0666666666666664</v>
      </c>
      <c r="O10" s="23">
        <f>SUM(O6:O9)</f>
        <v>1</v>
      </c>
    </row>
    <row r="11" spans="2:16" x14ac:dyDescent="0.25">
      <c r="B11">
        <v>7</v>
      </c>
      <c r="C11" s="12">
        <v>0</v>
      </c>
      <c r="D11" s="10">
        <f t="shared" si="2"/>
        <v>1</v>
      </c>
      <c r="E11" s="10">
        <f t="shared" si="5"/>
        <v>1</v>
      </c>
      <c r="F11" s="10">
        <f t="shared" si="0"/>
        <v>0.75991781320206331</v>
      </c>
      <c r="G11" s="10">
        <f t="shared" si="3"/>
        <v>0.75991781320206331</v>
      </c>
      <c r="I11" s="13">
        <f t="shared" si="1"/>
        <v>5000</v>
      </c>
      <c r="J11" s="11">
        <f>(SUM(G12:$G$79)*$I$1)</f>
        <v>25581.663811098522</v>
      </c>
      <c r="K11" s="11">
        <f t="shared" si="4"/>
        <v>-3799.5890660103178</v>
      </c>
    </row>
    <row r="12" spans="2:16" x14ac:dyDescent="0.25">
      <c r="B12">
        <v>8</v>
      </c>
      <c r="C12" s="12">
        <v>0</v>
      </c>
      <c r="D12" s="10">
        <f t="shared" si="2"/>
        <v>1</v>
      </c>
      <c r="E12" s="10">
        <f t="shared" si="5"/>
        <v>1</v>
      </c>
      <c r="F12" s="10">
        <f t="shared" si="0"/>
        <v>0.73069020500198378</v>
      </c>
      <c r="G12" s="10">
        <f t="shared" si="3"/>
        <v>0.73069020500198378</v>
      </c>
      <c r="I12" s="13">
        <f t="shared" si="1"/>
        <v>5000</v>
      </c>
      <c r="J12" s="11">
        <f>(SUM(G13:$G$79)*$I$1)</f>
        <v>21928.212786088603</v>
      </c>
      <c r="K12" s="11">
        <f t="shared" si="4"/>
        <v>-3653.4510250099192</v>
      </c>
    </row>
    <row r="13" spans="2:16" x14ac:dyDescent="0.25">
      <c r="B13">
        <v>9</v>
      </c>
      <c r="C13" s="12">
        <v>0</v>
      </c>
      <c r="D13" s="10">
        <f t="shared" si="2"/>
        <v>1</v>
      </c>
      <c r="E13" s="10">
        <f t="shared" si="5"/>
        <v>1</v>
      </c>
      <c r="F13" s="10">
        <f t="shared" si="0"/>
        <v>0.70258673557883045</v>
      </c>
      <c r="G13" s="10">
        <f t="shared" si="3"/>
        <v>0.70258673557883045</v>
      </c>
      <c r="I13" s="13">
        <f t="shared" si="1"/>
        <v>5000</v>
      </c>
      <c r="J13" s="11">
        <f>(SUM(G14:$G$79)*$I$1)</f>
        <v>18415.279108194449</v>
      </c>
      <c r="K13" s="11">
        <f t="shared" si="4"/>
        <v>-3512.9336778941542</v>
      </c>
    </row>
    <row r="14" spans="2:16" x14ac:dyDescent="0.25">
      <c r="B14">
        <v>10</v>
      </c>
      <c r="C14" s="12">
        <v>0</v>
      </c>
      <c r="D14" s="10">
        <f t="shared" si="2"/>
        <v>1</v>
      </c>
      <c r="E14" s="10">
        <f t="shared" si="5"/>
        <v>1</v>
      </c>
      <c r="F14" s="10">
        <f t="shared" si="0"/>
        <v>0.67556416882579851</v>
      </c>
      <c r="G14" s="10">
        <f t="shared" si="3"/>
        <v>0.67556416882579851</v>
      </c>
      <c r="I14" s="13">
        <f>E14*$I$1</f>
        <v>5000</v>
      </c>
      <c r="J14" s="11">
        <f>(SUM(G15:$G$79)*$I$1)</f>
        <v>15037.458264065457</v>
      </c>
      <c r="K14" s="11">
        <f t="shared" si="4"/>
        <v>-3377.8208441289917</v>
      </c>
    </row>
    <row r="15" spans="2:16" x14ac:dyDescent="0.25">
      <c r="B15">
        <v>11</v>
      </c>
      <c r="C15" s="12">
        <v>0</v>
      </c>
      <c r="D15" s="10">
        <f t="shared" si="2"/>
        <v>1</v>
      </c>
      <c r="E15" s="10">
        <f t="shared" si="5"/>
        <v>1</v>
      </c>
      <c r="F15" s="10">
        <f t="shared" si="0"/>
        <v>0.6495809315632679</v>
      </c>
      <c r="G15" s="10">
        <f t="shared" si="3"/>
        <v>0.6495809315632679</v>
      </c>
      <c r="I15" s="13">
        <f t="shared" si="1"/>
        <v>5000</v>
      </c>
      <c r="J15" s="11">
        <f>(SUM(G16:$G$79)*$I$1)</f>
        <v>11789.553606249119</v>
      </c>
      <c r="K15" s="11">
        <f t="shared" si="4"/>
        <v>-3247.9046578163379</v>
      </c>
      <c r="M15" s="24"/>
      <c r="N15" s="24"/>
      <c r="O15" s="24"/>
      <c r="P15" s="24"/>
    </row>
    <row r="16" spans="2:16" x14ac:dyDescent="0.25">
      <c r="B16">
        <v>12</v>
      </c>
      <c r="C16" s="12">
        <v>0</v>
      </c>
      <c r="D16" s="10">
        <f t="shared" si="2"/>
        <v>1</v>
      </c>
      <c r="E16" s="10">
        <f t="shared" si="5"/>
        <v>1</v>
      </c>
      <c r="F16" s="10">
        <f t="shared" si="0"/>
        <v>0.62459704958006512</v>
      </c>
      <c r="G16" s="10">
        <f t="shared" si="3"/>
        <v>0.62459704958006512</v>
      </c>
      <c r="I16" s="13">
        <f t="shared" si="1"/>
        <v>5000</v>
      </c>
      <c r="J16" s="11">
        <f>(SUM(G17:$G$79)*$I$1)</f>
        <v>8666.5683583487935</v>
      </c>
      <c r="K16" s="11">
        <f t="shared" si="4"/>
        <v>-3122.9852479003257</v>
      </c>
      <c r="M16" s="24"/>
      <c r="N16" s="24"/>
      <c r="O16" s="24"/>
      <c r="P16" s="24"/>
    </row>
    <row r="17" spans="2:16" x14ac:dyDescent="0.25">
      <c r="B17">
        <v>13</v>
      </c>
      <c r="C17" s="12">
        <v>0</v>
      </c>
      <c r="D17" s="10">
        <f t="shared" si="2"/>
        <v>1</v>
      </c>
      <c r="E17" s="10">
        <f t="shared" si="5"/>
        <v>1</v>
      </c>
      <c r="F17" s="10">
        <f t="shared" si="0"/>
        <v>0.600574086134678</v>
      </c>
      <c r="G17" s="10">
        <f t="shared" si="3"/>
        <v>0.600574086134678</v>
      </c>
      <c r="I17" s="13">
        <f t="shared" si="1"/>
        <v>5000</v>
      </c>
      <c r="J17" s="11">
        <f>(SUM(G18:$G$79)*$I$1)</f>
        <v>5663.6979276754028</v>
      </c>
      <c r="K17" s="11">
        <f t="shared" si="4"/>
        <v>-3002.8704306733907</v>
      </c>
      <c r="M17" s="24"/>
      <c r="N17" s="24"/>
      <c r="O17" s="24"/>
      <c r="P17" s="24"/>
    </row>
    <row r="18" spans="2:16" x14ac:dyDescent="0.25">
      <c r="B18">
        <v>14</v>
      </c>
      <c r="C18" s="12">
        <v>0</v>
      </c>
      <c r="D18" s="10">
        <f t="shared" si="2"/>
        <v>1</v>
      </c>
      <c r="E18" s="10">
        <f t="shared" si="5"/>
        <v>1</v>
      </c>
      <c r="F18" s="10">
        <f t="shared" si="0"/>
        <v>0.57747508282180582</v>
      </c>
      <c r="G18" s="10">
        <f t="shared" si="3"/>
        <v>0.57747508282180582</v>
      </c>
      <c r="I18" s="13">
        <f t="shared" si="1"/>
        <v>5000</v>
      </c>
      <c r="J18" s="11">
        <f>(SUM(G19:$G$79)*$I$1)</f>
        <v>2776.3225135663738</v>
      </c>
      <c r="K18" s="11">
        <f t="shared" si="4"/>
        <v>-2887.375414109029</v>
      </c>
      <c r="M18" s="24"/>
      <c r="N18" s="24"/>
      <c r="O18" s="24"/>
      <c r="P18" s="24"/>
    </row>
    <row r="19" spans="2:16" x14ac:dyDescent="0.25">
      <c r="B19">
        <v>15</v>
      </c>
      <c r="C19" s="12">
        <v>0</v>
      </c>
      <c r="D19" s="10">
        <f t="shared" si="2"/>
        <v>1</v>
      </c>
      <c r="E19" s="10">
        <f t="shared" si="5"/>
        <v>1</v>
      </c>
      <c r="F19" s="10">
        <f t="shared" si="0"/>
        <v>0.55526450271327477</v>
      </c>
      <c r="G19" s="10">
        <f t="shared" si="3"/>
        <v>0.55526450271327477</v>
      </c>
      <c r="I19" s="13">
        <f t="shared" si="1"/>
        <v>5000</v>
      </c>
      <c r="J19" s="11">
        <f>(SUM(G20:$G$79)*$I$1)</f>
        <v>0</v>
      </c>
      <c r="K19" s="11">
        <f t="shared" si="4"/>
        <v>-2776.3225135663738</v>
      </c>
      <c r="M19" s="24"/>
      <c r="N19" s="24"/>
      <c r="O19" s="24"/>
      <c r="P19" s="24"/>
    </row>
    <row r="20" spans="2:16" x14ac:dyDescent="0.25">
      <c r="B20">
        <v>16</v>
      </c>
      <c r="C20" s="12">
        <v>1</v>
      </c>
      <c r="D20" s="10">
        <f t="shared" si="2"/>
        <v>0</v>
      </c>
      <c r="E20" s="10">
        <f t="shared" si="5"/>
        <v>0</v>
      </c>
      <c r="F20" s="10">
        <f t="shared" si="0"/>
        <v>0</v>
      </c>
      <c r="G20" s="10">
        <f t="shared" si="3"/>
        <v>0</v>
      </c>
      <c r="I20" s="13">
        <f t="shared" si="1"/>
        <v>0</v>
      </c>
      <c r="J20" s="11">
        <f>(SUM(G21:$G$79)*$I$1)</f>
        <v>0</v>
      </c>
      <c r="K20" s="11">
        <f t="shared" si="4"/>
        <v>0</v>
      </c>
      <c r="M20" s="24"/>
      <c r="N20" s="24"/>
      <c r="O20" s="24"/>
      <c r="P20" s="24"/>
    </row>
    <row r="21" spans="2:16" x14ac:dyDescent="0.25">
      <c r="B21">
        <v>17</v>
      </c>
      <c r="C21" s="12">
        <v>0</v>
      </c>
      <c r="D21" s="10">
        <f t="shared" si="2"/>
        <v>1</v>
      </c>
      <c r="E21" s="10">
        <f t="shared" si="5"/>
        <v>0</v>
      </c>
      <c r="F21" s="10">
        <f t="shared" si="0"/>
        <v>0.51337324585177024</v>
      </c>
      <c r="G21" s="10">
        <f t="shared" si="3"/>
        <v>0</v>
      </c>
      <c r="I21" s="13">
        <f t="shared" si="1"/>
        <v>0</v>
      </c>
      <c r="J21" s="11">
        <f>(SUM(G22:$G$79)*$I$1)</f>
        <v>0</v>
      </c>
      <c r="K21" s="11">
        <f t="shared" si="4"/>
        <v>0</v>
      </c>
      <c r="M21" s="24"/>
      <c r="N21" s="24"/>
      <c r="O21" s="24"/>
      <c r="P21" s="24"/>
    </row>
    <row r="22" spans="2:16" x14ac:dyDescent="0.25">
      <c r="B22">
        <v>18</v>
      </c>
      <c r="C22" s="12">
        <v>0</v>
      </c>
      <c r="D22" s="10">
        <f t="shared" si="2"/>
        <v>1</v>
      </c>
      <c r="E22" s="10">
        <f t="shared" si="5"/>
        <v>0</v>
      </c>
      <c r="F22" s="10">
        <f t="shared" si="0"/>
        <v>0.49362812101131748</v>
      </c>
      <c r="G22" s="10">
        <f t="shared" si="3"/>
        <v>0</v>
      </c>
      <c r="I22" s="13">
        <f t="shared" si="1"/>
        <v>0</v>
      </c>
      <c r="J22" s="11">
        <f>(SUM(G23:$G$79)*$I$1)</f>
        <v>0</v>
      </c>
      <c r="K22" s="11">
        <f t="shared" si="4"/>
        <v>0</v>
      </c>
      <c r="M22" s="24"/>
      <c r="N22" s="24"/>
      <c r="O22" s="24"/>
      <c r="P22" s="24"/>
    </row>
    <row r="23" spans="2:16" x14ac:dyDescent="0.25">
      <c r="B23">
        <v>19</v>
      </c>
      <c r="C23" s="12">
        <v>0</v>
      </c>
      <c r="D23" s="10">
        <f t="shared" si="2"/>
        <v>1</v>
      </c>
      <c r="E23" s="10">
        <f t="shared" si="5"/>
        <v>0</v>
      </c>
      <c r="F23" s="10">
        <f t="shared" si="0"/>
        <v>0.47464242404934376</v>
      </c>
      <c r="G23" s="10">
        <f t="shared" si="3"/>
        <v>0</v>
      </c>
      <c r="I23" s="13">
        <f t="shared" si="1"/>
        <v>0</v>
      </c>
      <c r="J23" s="11">
        <f>(SUM(G24:$G$79)*$I$1)</f>
        <v>0</v>
      </c>
      <c r="K23" s="11">
        <f t="shared" si="4"/>
        <v>0</v>
      </c>
      <c r="M23" s="24"/>
      <c r="N23" s="24"/>
      <c r="O23" s="24"/>
      <c r="P23" s="24"/>
    </row>
    <row r="24" spans="2:16" x14ac:dyDescent="0.25">
      <c r="B24">
        <v>20</v>
      </c>
      <c r="C24" s="12">
        <v>0</v>
      </c>
      <c r="D24" s="10">
        <f t="shared" si="2"/>
        <v>1</v>
      </c>
      <c r="E24" s="10">
        <f t="shared" si="5"/>
        <v>0</v>
      </c>
      <c r="F24" s="10">
        <f t="shared" si="0"/>
        <v>0.45638694620129205</v>
      </c>
      <c r="G24" s="10">
        <f t="shared" si="3"/>
        <v>0</v>
      </c>
      <c r="I24" s="13">
        <f t="shared" si="1"/>
        <v>0</v>
      </c>
      <c r="J24" s="11">
        <f>(SUM(G25:$G$79)*$I$1)</f>
        <v>0</v>
      </c>
      <c r="K24" s="11">
        <f t="shared" si="4"/>
        <v>0</v>
      </c>
      <c r="M24" s="24"/>
      <c r="N24" s="24"/>
      <c r="O24" s="24"/>
      <c r="P24" s="24"/>
    </row>
    <row r="25" spans="2:16" x14ac:dyDescent="0.25">
      <c r="B25">
        <v>21</v>
      </c>
      <c r="C25" s="12">
        <v>0</v>
      </c>
      <c r="D25" s="10">
        <f t="shared" si="2"/>
        <v>1</v>
      </c>
      <c r="E25" s="10">
        <f t="shared" si="5"/>
        <v>0</v>
      </c>
      <c r="F25" s="10">
        <f t="shared" si="0"/>
        <v>0.43883360211662686</v>
      </c>
      <c r="G25" s="10">
        <f t="shared" si="3"/>
        <v>0</v>
      </c>
      <c r="I25" s="13">
        <f t="shared" si="1"/>
        <v>0</v>
      </c>
      <c r="J25" s="11">
        <f>(SUM(G26:$G$79)*$I$1)</f>
        <v>0</v>
      </c>
      <c r="K25" s="11">
        <f t="shared" si="4"/>
        <v>0</v>
      </c>
      <c r="M25" s="24"/>
      <c r="N25" s="24"/>
      <c r="O25" s="24"/>
      <c r="P25" s="24"/>
    </row>
    <row r="26" spans="2:16" x14ac:dyDescent="0.25">
      <c r="B26">
        <v>22</v>
      </c>
      <c r="C26" s="12">
        <v>0</v>
      </c>
      <c r="D26" s="10">
        <f t="shared" si="2"/>
        <v>1</v>
      </c>
      <c r="E26" s="10">
        <f t="shared" si="5"/>
        <v>0</v>
      </c>
      <c r="F26" s="10">
        <f t="shared" si="0"/>
        <v>0.42195538665060278</v>
      </c>
      <c r="G26" s="10">
        <f t="shared" si="3"/>
        <v>0</v>
      </c>
      <c r="I26" s="13">
        <f t="shared" si="1"/>
        <v>0</v>
      </c>
      <c r="J26" s="11">
        <f>(SUM(G27:$G$79)*$I$1)</f>
        <v>0</v>
      </c>
      <c r="K26" s="11">
        <f t="shared" si="4"/>
        <v>0</v>
      </c>
      <c r="M26" s="24"/>
      <c r="N26" s="24"/>
      <c r="O26" s="24"/>
      <c r="P26" s="24"/>
    </row>
    <row r="27" spans="2:16" x14ac:dyDescent="0.25">
      <c r="B27">
        <v>23</v>
      </c>
      <c r="C27" s="12">
        <v>0</v>
      </c>
      <c r="D27" s="10">
        <f t="shared" si="2"/>
        <v>1</v>
      </c>
      <c r="E27" s="10">
        <f t="shared" si="5"/>
        <v>0</v>
      </c>
      <c r="F27" s="10">
        <f t="shared" si="0"/>
        <v>0.40572633331788732</v>
      </c>
      <c r="G27" s="10">
        <f t="shared" si="3"/>
        <v>0</v>
      </c>
      <c r="I27" s="13">
        <f t="shared" si="1"/>
        <v>0</v>
      </c>
      <c r="J27" s="11">
        <f>(SUM(G28:$G$79)*$I$1)</f>
        <v>0</v>
      </c>
      <c r="K27" s="11">
        <f t="shared" si="4"/>
        <v>0</v>
      </c>
      <c r="M27" s="24"/>
      <c r="N27" s="24"/>
      <c r="O27" s="24"/>
      <c r="P27" s="24"/>
    </row>
    <row r="28" spans="2:16" x14ac:dyDescent="0.25">
      <c r="B28">
        <v>24</v>
      </c>
      <c r="C28" s="12">
        <v>0</v>
      </c>
      <c r="D28" s="10">
        <f t="shared" si="2"/>
        <v>1</v>
      </c>
      <c r="E28" s="10">
        <f t="shared" si="5"/>
        <v>0</v>
      </c>
      <c r="F28" s="10">
        <f t="shared" si="0"/>
        <v>0.39012147434412242</v>
      </c>
      <c r="G28" s="10">
        <f t="shared" si="3"/>
        <v>0</v>
      </c>
      <c r="I28" s="13">
        <f t="shared" si="1"/>
        <v>0</v>
      </c>
      <c r="J28" s="11">
        <f>(SUM(G29:$G$79)*$I$1)</f>
        <v>0</v>
      </c>
      <c r="K28" s="11">
        <f t="shared" si="4"/>
        <v>0</v>
      </c>
      <c r="M28" s="24"/>
      <c r="N28" s="24"/>
      <c r="O28" s="24"/>
      <c r="P28" s="24"/>
    </row>
    <row r="29" spans="2:16" x14ac:dyDescent="0.25">
      <c r="B29">
        <v>25</v>
      </c>
      <c r="C29" s="12">
        <v>0</v>
      </c>
      <c r="D29" s="10">
        <f t="shared" si="2"/>
        <v>1</v>
      </c>
      <c r="E29" s="10">
        <f t="shared" si="5"/>
        <v>0</v>
      </c>
      <c r="F29" s="10">
        <f t="shared" si="0"/>
        <v>0.37511680225396377</v>
      </c>
      <c r="G29" s="10">
        <f t="shared" si="3"/>
        <v>0</v>
      </c>
      <c r="I29" s="13">
        <f t="shared" si="1"/>
        <v>0</v>
      </c>
      <c r="J29" s="11">
        <f>(SUM(G30:$G$79)*$I$1)</f>
        <v>0</v>
      </c>
      <c r="K29" s="11">
        <f t="shared" si="4"/>
        <v>0</v>
      </c>
      <c r="M29" s="24"/>
      <c r="N29" s="24"/>
      <c r="O29" s="24"/>
      <c r="P29" s="24"/>
    </row>
    <row r="30" spans="2:16" x14ac:dyDescent="0.25">
      <c r="B30">
        <v>26</v>
      </c>
      <c r="C30" s="12">
        <v>0</v>
      </c>
      <c r="D30" s="10">
        <f t="shared" si="2"/>
        <v>1</v>
      </c>
      <c r="E30" s="10">
        <f t="shared" si="5"/>
        <v>0</v>
      </c>
      <c r="F30" s="10">
        <f t="shared" si="0"/>
        <v>0.36068923293650368</v>
      </c>
      <c r="G30" s="10">
        <f t="shared" si="3"/>
        <v>0</v>
      </c>
      <c r="I30" s="13">
        <f t="shared" si="1"/>
        <v>0</v>
      </c>
      <c r="J30" s="11">
        <f>(SUM(G31:$G$79)*$I$1)</f>
        <v>0</v>
      </c>
      <c r="K30" s="11">
        <f t="shared" si="4"/>
        <v>0</v>
      </c>
      <c r="M30" s="24"/>
      <c r="N30" s="24"/>
      <c r="O30" s="24"/>
      <c r="P30" s="24"/>
    </row>
    <row r="31" spans="2:16" x14ac:dyDescent="0.25">
      <c r="B31">
        <v>27</v>
      </c>
      <c r="C31" s="12">
        <v>0</v>
      </c>
      <c r="D31" s="10">
        <f t="shared" si="2"/>
        <v>1</v>
      </c>
      <c r="E31" s="10">
        <f t="shared" si="5"/>
        <v>0</v>
      </c>
      <c r="F31" s="10">
        <f t="shared" si="0"/>
        <v>0.3468165701312535</v>
      </c>
      <c r="G31" s="10">
        <f t="shared" si="3"/>
        <v>0</v>
      </c>
      <c r="I31" s="13">
        <f t="shared" si="1"/>
        <v>0</v>
      </c>
      <c r="J31" s="11">
        <f>(SUM(G32:$G$79)*$I$1)</f>
        <v>0</v>
      </c>
      <c r="K31" s="11">
        <f t="shared" si="4"/>
        <v>0</v>
      </c>
      <c r="M31" s="24"/>
      <c r="N31" s="24"/>
      <c r="O31" s="24"/>
      <c r="P31" s="24"/>
    </row>
    <row r="32" spans="2:16" x14ac:dyDescent="0.25">
      <c r="B32">
        <v>28</v>
      </c>
      <c r="C32" s="12">
        <v>0</v>
      </c>
      <c r="D32" s="10">
        <f t="shared" si="2"/>
        <v>1</v>
      </c>
      <c r="E32" s="10">
        <f t="shared" si="5"/>
        <v>0</v>
      </c>
      <c r="F32" s="10">
        <f t="shared" si="0"/>
        <v>0.3334774712800514</v>
      </c>
      <c r="G32" s="10">
        <f t="shared" si="3"/>
        <v>0</v>
      </c>
      <c r="I32" s="13">
        <f t="shared" si="1"/>
        <v>0</v>
      </c>
      <c r="J32" s="11">
        <f>(SUM(G33:$G$79)*$I$1)</f>
        <v>0</v>
      </c>
      <c r="K32" s="11">
        <f t="shared" si="4"/>
        <v>0</v>
      </c>
      <c r="M32" s="24"/>
      <c r="N32" s="24"/>
      <c r="O32" s="24"/>
      <c r="P32" s="24"/>
    </row>
    <row r="33" spans="2:16" x14ac:dyDescent="0.25">
      <c r="B33">
        <v>29</v>
      </c>
      <c r="C33" s="12">
        <v>0</v>
      </c>
      <c r="D33" s="10">
        <f t="shared" si="2"/>
        <v>1</v>
      </c>
      <c r="E33" s="10">
        <f t="shared" si="5"/>
        <v>0</v>
      </c>
      <c r="F33" s="10">
        <f t="shared" si="0"/>
        <v>0.32065141469235708</v>
      </c>
      <c r="G33" s="10">
        <f t="shared" si="3"/>
        <v>0</v>
      </c>
      <c r="I33" s="13">
        <f t="shared" si="1"/>
        <v>0</v>
      </c>
      <c r="J33" s="11">
        <f>(SUM(G34:$G$79)*$I$1)</f>
        <v>0</v>
      </c>
      <c r="K33" s="11">
        <f t="shared" si="4"/>
        <v>0</v>
      </c>
      <c r="M33" s="24"/>
      <c r="N33" s="24"/>
      <c r="O33" s="24"/>
      <c r="P33" s="24"/>
    </row>
    <row r="34" spans="2:16" x14ac:dyDescent="0.25">
      <c r="B34">
        <v>30</v>
      </c>
      <c r="C34" s="12">
        <v>0</v>
      </c>
      <c r="D34" s="10">
        <f t="shared" si="2"/>
        <v>1</v>
      </c>
      <c r="E34" s="10">
        <f t="shared" si="5"/>
        <v>0</v>
      </c>
      <c r="F34" s="10">
        <f t="shared" si="0"/>
        <v>0.30831866797342034</v>
      </c>
      <c r="G34" s="10">
        <f t="shared" si="3"/>
        <v>0</v>
      </c>
      <c r="I34" s="13">
        <f t="shared" si="1"/>
        <v>0</v>
      </c>
      <c r="J34" s="11">
        <f>(SUM(G35:$G$79)*$I$1)</f>
        <v>0</v>
      </c>
      <c r="K34" s="11">
        <f t="shared" si="4"/>
        <v>0</v>
      </c>
      <c r="M34" s="24"/>
      <c r="N34" s="24"/>
      <c r="O34" s="24"/>
      <c r="P34" s="24"/>
    </row>
    <row r="35" spans="2:16" x14ac:dyDescent="0.25">
      <c r="B35">
        <v>31</v>
      </c>
      <c r="C35" s="12">
        <v>0</v>
      </c>
      <c r="D35" s="10">
        <f t="shared" si="2"/>
        <v>1</v>
      </c>
      <c r="E35" s="10">
        <f t="shared" si="5"/>
        <v>0</v>
      </c>
      <c r="F35" s="10">
        <f t="shared" si="0"/>
        <v>0.29646025766675027</v>
      </c>
      <c r="G35" s="10">
        <f t="shared" si="3"/>
        <v>0</v>
      </c>
      <c r="I35" s="13">
        <f t="shared" si="1"/>
        <v>0</v>
      </c>
      <c r="J35" s="11">
        <f>(SUM(G36:$G$79)*$I$1)</f>
        <v>0</v>
      </c>
      <c r="K35" s="11">
        <f t="shared" si="4"/>
        <v>0</v>
      </c>
      <c r="M35" s="24"/>
      <c r="N35" s="24"/>
      <c r="O35" s="24"/>
      <c r="P35" s="24"/>
    </row>
    <row r="36" spans="2:16" x14ac:dyDescent="0.25">
      <c r="B36">
        <v>32</v>
      </c>
      <c r="C36" s="12">
        <v>0</v>
      </c>
      <c r="D36" s="10">
        <f t="shared" si="2"/>
        <v>1</v>
      </c>
      <c r="E36" s="10">
        <f t="shared" si="5"/>
        <v>0</v>
      </c>
      <c r="F36" s="10">
        <f t="shared" si="0"/>
        <v>0.28505794006418295</v>
      </c>
      <c r="G36" s="10">
        <f t="shared" si="3"/>
        <v>0</v>
      </c>
      <c r="I36" s="13">
        <f t="shared" si="1"/>
        <v>0</v>
      </c>
      <c r="J36" s="11">
        <f>(SUM(G37:$G$79)*$I$1)</f>
        <v>0</v>
      </c>
      <c r="K36" s="11">
        <f t="shared" si="4"/>
        <v>0</v>
      </c>
      <c r="M36" s="24"/>
      <c r="N36" s="24"/>
      <c r="O36" s="24"/>
      <c r="P36" s="24"/>
    </row>
    <row r="37" spans="2:16" x14ac:dyDescent="0.25">
      <c r="B37">
        <v>33</v>
      </c>
      <c r="C37" s="12">
        <v>0</v>
      </c>
      <c r="D37" s="10">
        <f t="shared" si="2"/>
        <v>1</v>
      </c>
      <c r="E37" s="10">
        <f t="shared" si="5"/>
        <v>0</v>
      </c>
      <c r="F37" s="10">
        <f t="shared" si="0"/>
        <v>0.27409417313863743</v>
      </c>
      <c r="G37" s="10">
        <f t="shared" si="3"/>
        <v>0</v>
      </c>
      <c r="I37" s="13">
        <f t="shared" si="1"/>
        <v>0</v>
      </c>
      <c r="J37" s="11">
        <f>(SUM(G38:$G$79)*$I$1)</f>
        <v>0</v>
      </c>
      <c r="K37" s="11">
        <f t="shared" si="4"/>
        <v>0</v>
      </c>
      <c r="M37" s="24"/>
      <c r="N37" s="24"/>
      <c r="O37" s="24"/>
      <c r="P37" s="24"/>
    </row>
    <row r="38" spans="2:16" x14ac:dyDescent="0.25">
      <c r="B38">
        <v>34</v>
      </c>
      <c r="C38" s="12">
        <v>0</v>
      </c>
      <c r="D38" s="10">
        <f t="shared" si="2"/>
        <v>1</v>
      </c>
      <c r="E38" s="10">
        <f t="shared" si="5"/>
        <v>0</v>
      </c>
      <c r="F38" s="10">
        <f t="shared" si="0"/>
        <v>0.26355208955638215</v>
      </c>
      <c r="G38" s="10">
        <f t="shared" si="3"/>
        <v>0</v>
      </c>
      <c r="I38" s="13">
        <f t="shared" si="1"/>
        <v>0</v>
      </c>
      <c r="J38" s="11">
        <f>(SUM(G39:$G$79)*$I$1)</f>
        <v>0</v>
      </c>
      <c r="K38" s="11">
        <f t="shared" si="4"/>
        <v>0</v>
      </c>
      <c r="M38" s="24"/>
      <c r="N38" s="24"/>
      <c r="O38" s="24"/>
      <c r="P38" s="24"/>
    </row>
    <row r="39" spans="2:16" x14ac:dyDescent="0.25">
      <c r="B39">
        <v>35</v>
      </c>
      <c r="C39" s="12">
        <v>0</v>
      </c>
      <c r="D39" s="10">
        <f t="shared" si="2"/>
        <v>1</v>
      </c>
      <c r="E39" s="10">
        <f t="shared" si="5"/>
        <v>0</v>
      </c>
      <c r="F39" s="10">
        <f t="shared" si="0"/>
        <v>0.25341547072729048</v>
      </c>
      <c r="G39" s="10">
        <f t="shared" si="3"/>
        <v>0</v>
      </c>
      <c r="I39" s="13">
        <f t="shared" si="1"/>
        <v>0</v>
      </c>
      <c r="J39" s="11">
        <f>(SUM(G40:$G$79)*$I$1)</f>
        <v>0</v>
      </c>
      <c r="K39" s="11">
        <f t="shared" si="4"/>
        <v>0</v>
      </c>
      <c r="M39" s="24"/>
      <c r="N39" s="24"/>
      <c r="O39" s="24"/>
      <c r="P39" s="24"/>
    </row>
    <row r="40" spans="2:16" x14ac:dyDescent="0.25">
      <c r="B40">
        <v>36</v>
      </c>
      <c r="C40" s="12">
        <v>0</v>
      </c>
      <c r="D40" s="10">
        <f t="shared" si="2"/>
        <v>1</v>
      </c>
      <c r="E40" s="10">
        <f t="shared" si="5"/>
        <v>0</v>
      </c>
      <c r="F40" s="10">
        <f t="shared" si="0"/>
        <v>0.24366872185316396</v>
      </c>
      <c r="G40" s="10">
        <f t="shared" si="3"/>
        <v>0</v>
      </c>
      <c r="I40" s="13">
        <f t="shared" si="1"/>
        <v>0</v>
      </c>
      <c r="J40" s="11">
        <f>(SUM(G41:$G$79)*$I$1)</f>
        <v>0</v>
      </c>
      <c r="K40" s="11">
        <f t="shared" si="4"/>
        <v>0</v>
      </c>
      <c r="M40" s="24"/>
      <c r="N40" s="24"/>
      <c r="O40" s="24"/>
      <c r="P40" s="24"/>
    </row>
    <row r="41" spans="2:16" x14ac:dyDescent="0.25">
      <c r="B41">
        <v>37</v>
      </c>
      <c r="C41" s="12">
        <v>0</v>
      </c>
      <c r="D41" s="10">
        <f t="shared" si="2"/>
        <v>1</v>
      </c>
      <c r="E41" s="10">
        <f t="shared" si="5"/>
        <v>0</v>
      </c>
      <c r="F41" s="10">
        <f t="shared" si="0"/>
        <v>0.23429684793573452</v>
      </c>
      <c r="G41" s="10">
        <f t="shared" si="3"/>
        <v>0</v>
      </c>
      <c r="I41" s="13">
        <f t="shared" si="1"/>
        <v>0</v>
      </c>
      <c r="J41" s="11">
        <f>(SUM(G42:$G$79)*$I$1)</f>
        <v>0</v>
      </c>
      <c r="K41" s="11">
        <f t="shared" si="4"/>
        <v>0</v>
      </c>
      <c r="M41" s="24"/>
      <c r="N41" s="24"/>
      <c r="O41" s="24"/>
      <c r="P41" s="24"/>
    </row>
    <row r="42" spans="2:16" x14ac:dyDescent="0.25">
      <c r="B42">
        <v>38</v>
      </c>
      <c r="C42" s="12">
        <v>0</v>
      </c>
      <c r="D42" s="10">
        <f t="shared" si="2"/>
        <v>1</v>
      </c>
      <c r="E42" s="10">
        <f t="shared" si="5"/>
        <v>0</v>
      </c>
      <c r="F42" s="10">
        <f t="shared" si="0"/>
        <v>0.22528543070743706</v>
      </c>
      <c r="G42" s="10">
        <f t="shared" si="3"/>
        <v>0</v>
      </c>
      <c r="I42" s="13">
        <f t="shared" si="1"/>
        <v>0</v>
      </c>
      <c r="J42" s="11">
        <f>(SUM(G43:$G$79)*$I$1)</f>
        <v>0</v>
      </c>
      <c r="K42" s="11">
        <f t="shared" si="4"/>
        <v>0</v>
      </c>
      <c r="M42" s="24"/>
      <c r="N42" s="24"/>
      <c r="O42" s="24"/>
      <c r="P42" s="24"/>
    </row>
    <row r="43" spans="2:16" x14ac:dyDescent="0.25">
      <c r="B43">
        <v>39</v>
      </c>
      <c r="C43" s="12">
        <v>0</v>
      </c>
      <c r="D43" s="10">
        <f t="shared" si="2"/>
        <v>1</v>
      </c>
      <c r="E43" s="10">
        <f t="shared" si="5"/>
        <v>0</v>
      </c>
      <c r="F43" s="10">
        <f t="shared" si="0"/>
        <v>0.21662060644945874</v>
      </c>
      <c r="G43" s="10">
        <f t="shared" si="3"/>
        <v>0</v>
      </c>
      <c r="I43" s="13">
        <f t="shared" si="1"/>
        <v>0</v>
      </c>
      <c r="J43" s="11">
        <f>(SUM(G44:$G$79)*$I$1)</f>
        <v>0</v>
      </c>
      <c r="K43" s="11">
        <f t="shared" si="4"/>
        <v>0</v>
      </c>
    </row>
    <row r="44" spans="2:16" x14ac:dyDescent="0.25">
      <c r="B44">
        <v>40</v>
      </c>
      <c r="C44" s="12">
        <v>0</v>
      </c>
      <c r="D44" s="10">
        <f t="shared" si="2"/>
        <v>1</v>
      </c>
      <c r="E44" s="10">
        <f t="shared" si="5"/>
        <v>0</v>
      </c>
      <c r="F44" s="10">
        <f t="shared" si="0"/>
        <v>0.20828904466294101</v>
      </c>
      <c r="G44" s="10">
        <f t="shared" si="3"/>
        <v>0</v>
      </c>
      <c r="I44" s="13">
        <f t="shared" si="1"/>
        <v>0</v>
      </c>
      <c r="J44" s="11">
        <f>(SUM(G45:$G$79)*$I$1)</f>
        <v>0</v>
      </c>
      <c r="K44" s="11">
        <f t="shared" si="4"/>
        <v>0</v>
      </c>
    </row>
    <row r="45" spans="2:16" x14ac:dyDescent="0.25">
      <c r="B45">
        <v>41</v>
      </c>
      <c r="C45" s="12">
        <v>0</v>
      </c>
      <c r="D45" s="10">
        <f t="shared" si="2"/>
        <v>1</v>
      </c>
      <c r="E45" s="10">
        <f t="shared" si="5"/>
        <v>0</v>
      </c>
      <c r="F45" s="10">
        <f t="shared" si="0"/>
        <v>0.20027792756052021</v>
      </c>
      <c r="G45" s="10">
        <f t="shared" si="3"/>
        <v>0</v>
      </c>
      <c r="I45" s="13">
        <f t="shared" si="1"/>
        <v>0</v>
      </c>
      <c r="J45" s="11">
        <f>(SUM(G46:$G$79)*$I$1)</f>
        <v>0</v>
      </c>
      <c r="K45" s="11">
        <f t="shared" si="4"/>
        <v>0</v>
      </c>
    </row>
    <row r="46" spans="2:16" x14ac:dyDescent="0.25">
      <c r="B46">
        <v>42</v>
      </c>
      <c r="C46" s="12">
        <v>0</v>
      </c>
      <c r="D46" s="10">
        <f t="shared" si="2"/>
        <v>1</v>
      </c>
      <c r="E46" s="10">
        <f t="shared" si="5"/>
        <v>0</v>
      </c>
      <c r="F46" s="10">
        <f t="shared" si="0"/>
        <v>0.19257493034665407</v>
      </c>
      <c r="G46" s="10">
        <f t="shared" si="3"/>
        <v>0</v>
      </c>
      <c r="I46" s="13">
        <f t="shared" si="1"/>
        <v>0</v>
      </c>
      <c r="J46" s="11">
        <f>(SUM(G47:$G$79)*$I$1)</f>
        <v>0</v>
      </c>
      <c r="K46" s="11">
        <f t="shared" si="4"/>
        <v>0</v>
      </c>
    </row>
    <row r="47" spans="2:16" x14ac:dyDescent="0.25">
      <c r="B47">
        <v>43</v>
      </c>
      <c r="C47" s="12">
        <v>0</v>
      </c>
      <c r="D47" s="10">
        <f t="shared" si="2"/>
        <v>1</v>
      </c>
      <c r="E47" s="10">
        <f t="shared" si="5"/>
        <v>0</v>
      </c>
      <c r="F47" s="10">
        <f t="shared" si="0"/>
        <v>0.18516820225639813</v>
      </c>
      <c r="G47" s="10">
        <f t="shared" si="3"/>
        <v>0</v>
      </c>
      <c r="I47" s="13">
        <f t="shared" si="1"/>
        <v>0</v>
      </c>
      <c r="J47" s="11">
        <f>(SUM(G48:$G$79)*$I$1)</f>
        <v>0</v>
      </c>
      <c r="K47" s="11">
        <f t="shared" si="4"/>
        <v>0</v>
      </c>
    </row>
    <row r="48" spans="2:16" x14ac:dyDescent="0.25">
      <c r="B48">
        <v>44</v>
      </c>
      <c r="C48" s="12">
        <v>0</v>
      </c>
      <c r="D48" s="10">
        <f t="shared" si="2"/>
        <v>1</v>
      </c>
      <c r="E48" s="10">
        <f t="shared" si="5"/>
        <v>0</v>
      </c>
      <c r="F48" s="10">
        <f t="shared" si="0"/>
        <v>0.17804634832345972</v>
      </c>
      <c r="G48" s="10">
        <f t="shared" si="3"/>
        <v>0</v>
      </c>
      <c r="I48" s="13">
        <f t="shared" si="1"/>
        <v>0</v>
      </c>
      <c r="J48" s="11">
        <f>(SUM(G49:$G$79)*$I$1)</f>
        <v>0</v>
      </c>
      <c r="K48" s="11">
        <f t="shared" si="4"/>
        <v>0</v>
      </c>
    </row>
    <row r="49" spans="2:11" x14ac:dyDescent="0.25">
      <c r="B49">
        <v>45</v>
      </c>
      <c r="C49" s="12">
        <v>0</v>
      </c>
      <c r="D49" s="10">
        <f t="shared" si="2"/>
        <v>1</v>
      </c>
      <c r="E49" s="10">
        <f t="shared" si="5"/>
        <v>0</v>
      </c>
      <c r="F49" s="10">
        <f t="shared" si="0"/>
        <v>0.17119841184948048</v>
      </c>
      <c r="G49" s="10">
        <f t="shared" si="3"/>
        <v>0</v>
      </c>
      <c r="I49" s="13">
        <f t="shared" si="1"/>
        <v>0</v>
      </c>
      <c r="J49" s="11">
        <f>(SUM(G50:$G$79)*$I$1)</f>
        <v>0</v>
      </c>
      <c r="K49" s="11">
        <f t="shared" si="4"/>
        <v>0</v>
      </c>
    </row>
    <row r="50" spans="2:11" x14ac:dyDescent="0.25">
      <c r="B50">
        <v>46</v>
      </c>
      <c r="C50" s="12">
        <v>0</v>
      </c>
      <c r="D50" s="10">
        <f t="shared" si="2"/>
        <v>1</v>
      </c>
      <c r="E50" s="10">
        <f t="shared" si="5"/>
        <v>0</v>
      </c>
      <c r="F50" s="10">
        <f t="shared" si="0"/>
        <v>0.1646138575475774</v>
      </c>
      <c r="G50" s="10">
        <f t="shared" si="3"/>
        <v>0</v>
      </c>
      <c r="I50" s="13">
        <f t="shared" si="1"/>
        <v>0</v>
      </c>
      <c r="J50" s="11">
        <f>(SUM(G51:$G$79)*$I$1)</f>
        <v>0</v>
      </c>
      <c r="K50" s="11">
        <f t="shared" si="4"/>
        <v>0</v>
      </c>
    </row>
    <row r="51" spans="2:11" x14ac:dyDescent="0.25">
      <c r="B51">
        <v>47</v>
      </c>
      <c r="C51" s="12">
        <v>0</v>
      </c>
      <c r="D51" s="10">
        <f t="shared" si="2"/>
        <v>1</v>
      </c>
      <c r="E51" s="10">
        <f t="shared" si="5"/>
        <v>0</v>
      </c>
      <c r="F51" s="10">
        <f t="shared" si="0"/>
        <v>0.15828255533420904</v>
      </c>
      <c r="G51" s="10">
        <f t="shared" si="3"/>
        <v>0</v>
      </c>
      <c r="I51" s="13">
        <f t="shared" si="1"/>
        <v>0</v>
      </c>
      <c r="J51" s="11">
        <f>(SUM(G52:$G$79)*$I$1)</f>
        <v>0</v>
      </c>
      <c r="K51" s="11">
        <f t="shared" si="4"/>
        <v>0</v>
      </c>
    </row>
    <row r="52" spans="2:11" x14ac:dyDescent="0.25">
      <c r="B52">
        <v>48</v>
      </c>
      <c r="C52" s="12">
        <v>0</v>
      </c>
      <c r="D52" s="10">
        <f t="shared" si="2"/>
        <v>1</v>
      </c>
      <c r="E52" s="10">
        <f t="shared" si="5"/>
        <v>0</v>
      </c>
      <c r="F52" s="10">
        <f t="shared" si="0"/>
        <v>0.15219476474443175</v>
      </c>
      <c r="G52" s="10">
        <f t="shared" si="3"/>
        <v>0</v>
      </c>
      <c r="I52" s="13">
        <f t="shared" si="1"/>
        <v>0</v>
      </c>
      <c r="J52" s="11">
        <f>(SUM(G53:$G$79)*$I$1)</f>
        <v>0</v>
      </c>
      <c r="K52" s="11">
        <f t="shared" si="4"/>
        <v>0</v>
      </c>
    </row>
    <row r="53" spans="2:11" x14ac:dyDescent="0.25">
      <c r="B53">
        <v>49</v>
      </c>
      <c r="C53" s="12">
        <v>0</v>
      </c>
      <c r="D53" s="10">
        <f t="shared" si="2"/>
        <v>1</v>
      </c>
      <c r="E53" s="10">
        <f t="shared" si="5"/>
        <v>0</v>
      </c>
      <c r="F53" s="10">
        <f t="shared" si="0"/>
        <v>0.14634111994656898</v>
      </c>
      <c r="G53" s="10">
        <f t="shared" si="3"/>
        <v>0</v>
      </c>
      <c r="I53" s="13">
        <f t="shared" si="1"/>
        <v>0</v>
      </c>
      <c r="J53" s="11">
        <f>(SUM(G54:$G$79)*$I$1)</f>
        <v>0</v>
      </c>
      <c r="K53" s="11">
        <f t="shared" si="4"/>
        <v>0</v>
      </c>
    </row>
    <row r="54" spans="2:11" x14ac:dyDescent="0.25">
      <c r="B54">
        <v>50</v>
      </c>
      <c r="C54" s="12">
        <v>0</v>
      </c>
      <c r="D54" s="10">
        <f t="shared" si="2"/>
        <v>1</v>
      </c>
      <c r="E54" s="10">
        <f t="shared" si="5"/>
        <v>0</v>
      </c>
      <c r="F54" s="10">
        <f t="shared" si="0"/>
        <v>0.14071261533323939</v>
      </c>
      <c r="G54" s="10">
        <f t="shared" si="3"/>
        <v>0</v>
      </c>
      <c r="I54" s="13">
        <f t="shared" si="1"/>
        <v>0</v>
      </c>
      <c r="J54" s="11">
        <f>(SUM(G55:$G$79)*$I$1)</f>
        <v>0</v>
      </c>
      <c r="K54" s="11">
        <f t="shared" si="4"/>
        <v>0</v>
      </c>
    </row>
    <row r="55" spans="2:11" x14ac:dyDescent="0.25">
      <c r="B55">
        <v>51</v>
      </c>
      <c r="C55" s="12">
        <v>0</v>
      </c>
      <c r="D55" s="10">
        <f t="shared" si="2"/>
        <v>1</v>
      </c>
      <c r="E55" s="10">
        <f t="shared" si="5"/>
        <v>0</v>
      </c>
      <c r="F55" s="10">
        <f t="shared" si="0"/>
        <v>0.13530059166657632</v>
      </c>
      <c r="G55" s="10">
        <f t="shared" si="3"/>
        <v>0</v>
      </c>
      <c r="I55" s="13">
        <f t="shared" si="1"/>
        <v>0</v>
      </c>
      <c r="J55" s="11">
        <f>(SUM(G56:$G$79)*$I$1)</f>
        <v>0</v>
      </c>
      <c r="K55" s="11">
        <f t="shared" si="4"/>
        <v>0</v>
      </c>
    </row>
    <row r="56" spans="2:11" x14ac:dyDescent="0.25">
      <c r="B56">
        <v>52</v>
      </c>
      <c r="C56" s="12">
        <v>0</v>
      </c>
      <c r="D56" s="10">
        <f t="shared" si="2"/>
        <v>1</v>
      </c>
      <c r="E56" s="10">
        <f t="shared" si="5"/>
        <v>0</v>
      </c>
      <c r="F56" s="10">
        <f t="shared" si="0"/>
        <v>0.13009672275632339</v>
      </c>
      <c r="G56" s="10">
        <f t="shared" si="3"/>
        <v>0</v>
      </c>
      <c r="I56" s="13">
        <f t="shared" si="1"/>
        <v>0</v>
      </c>
      <c r="J56" s="11">
        <f>(SUM(G57:$G$79)*$I$1)</f>
        <v>0</v>
      </c>
      <c r="K56" s="11">
        <f t="shared" si="4"/>
        <v>0</v>
      </c>
    </row>
    <row r="57" spans="2:11" x14ac:dyDescent="0.25">
      <c r="B57">
        <v>53</v>
      </c>
      <c r="C57" s="12">
        <v>0</v>
      </c>
      <c r="D57" s="10">
        <f t="shared" si="2"/>
        <v>1</v>
      </c>
      <c r="E57" s="10">
        <f t="shared" si="5"/>
        <v>0</v>
      </c>
      <c r="F57" s="10">
        <f t="shared" si="0"/>
        <v>0.12509300265031092</v>
      </c>
      <c r="G57" s="10">
        <f t="shared" si="3"/>
        <v>0</v>
      </c>
      <c r="I57" s="13">
        <f t="shared" si="1"/>
        <v>0</v>
      </c>
      <c r="J57" s="11">
        <f>(SUM(G58:$G$79)*$I$1)</f>
        <v>0</v>
      </c>
      <c r="K57" s="11">
        <f t="shared" si="4"/>
        <v>0</v>
      </c>
    </row>
    <row r="58" spans="2:11" x14ac:dyDescent="0.25">
      <c r="B58">
        <v>54</v>
      </c>
      <c r="C58" s="12">
        <v>0</v>
      </c>
      <c r="D58" s="10">
        <f t="shared" si="2"/>
        <v>1</v>
      </c>
      <c r="E58" s="10">
        <f t="shared" si="5"/>
        <v>0</v>
      </c>
      <c r="F58" s="10">
        <f t="shared" si="0"/>
        <v>0.12028173331760666</v>
      </c>
      <c r="G58" s="10">
        <f t="shared" si="3"/>
        <v>0</v>
      </c>
      <c r="I58" s="13">
        <f t="shared" si="1"/>
        <v>0</v>
      </c>
      <c r="J58" s="11">
        <f>(SUM(G59:$G$79)*$I$1)</f>
        <v>0</v>
      </c>
      <c r="K58" s="11">
        <f t="shared" si="4"/>
        <v>0</v>
      </c>
    </row>
    <row r="59" spans="2:11" x14ac:dyDescent="0.25">
      <c r="B59">
        <v>55</v>
      </c>
      <c r="C59" s="12">
        <v>0</v>
      </c>
      <c r="D59" s="10">
        <f t="shared" si="2"/>
        <v>1</v>
      </c>
      <c r="E59" s="10">
        <f t="shared" si="5"/>
        <v>0</v>
      </c>
      <c r="F59" s="10">
        <f t="shared" si="0"/>
        <v>0.11565551280539103</v>
      </c>
      <c r="G59" s="10">
        <f t="shared" si="3"/>
        <v>0</v>
      </c>
      <c r="I59" s="13">
        <f t="shared" si="1"/>
        <v>0</v>
      </c>
      <c r="J59" s="11">
        <f>(SUM(G60:$G$79)*$I$1)</f>
        <v>0</v>
      </c>
      <c r="K59" s="11">
        <f t="shared" si="4"/>
        <v>0</v>
      </c>
    </row>
    <row r="60" spans="2:11" x14ac:dyDescent="0.25">
      <c r="B60">
        <v>56</v>
      </c>
      <c r="C60" s="12">
        <v>0</v>
      </c>
      <c r="D60" s="10">
        <f t="shared" si="2"/>
        <v>1</v>
      </c>
      <c r="E60" s="10">
        <f t="shared" si="5"/>
        <v>0</v>
      </c>
      <c r="F60" s="10">
        <f>IF(D60=0,0,(1+$F$2)^-B60)</f>
        <v>0.11120722385133754</v>
      </c>
      <c r="G60" s="10">
        <f t="shared" si="3"/>
        <v>0</v>
      </c>
      <c r="I60" s="13">
        <f t="shared" si="1"/>
        <v>0</v>
      </c>
      <c r="J60" s="11">
        <f>(SUM(G61:$G$79)*$I$1)</f>
        <v>0</v>
      </c>
      <c r="K60" s="11">
        <f t="shared" si="4"/>
        <v>0</v>
      </c>
    </row>
    <row r="61" spans="2:11" x14ac:dyDescent="0.25">
      <c r="B61">
        <v>57</v>
      </c>
      <c r="C61" s="12">
        <v>0</v>
      </c>
      <c r="D61" s="10">
        <f t="shared" si="2"/>
        <v>1</v>
      </c>
      <c r="E61" s="10">
        <f t="shared" si="5"/>
        <v>0</v>
      </c>
      <c r="F61" s="10">
        <f t="shared" ref="F61:F79" si="6">IF(D61=0,0,(1+$F$2)^-B61)</f>
        <v>0.10693002293397837</v>
      </c>
      <c r="G61" s="10">
        <f t="shared" si="3"/>
        <v>0</v>
      </c>
      <c r="I61" s="13">
        <f t="shared" si="1"/>
        <v>0</v>
      </c>
      <c r="J61" s="11">
        <f>(SUM(G62:$G$79)*$I$1)</f>
        <v>0</v>
      </c>
      <c r="K61" s="11">
        <f t="shared" si="4"/>
        <v>0</v>
      </c>
    </row>
    <row r="62" spans="2:11" x14ac:dyDescent="0.25">
      <c r="B62">
        <v>58</v>
      </c>
      <c r="C62" s="12">
        <v>0</v>
      </c>
      <c r="D62" s="10">
        <f t="shared" si="2"/>
        <v>1</v>
      </c>
      <c r="E62" s="10">
        <f t="shared" si="5"/>
        <v>0</v>
      </c>
      <c r="F62" s="10">
        <f t="shared" si="6"/>
        <v>0.10281732974420998</v>
      </c>
      <c r="G62" s="10">
        <f t="shared" si="3"/>
        <v>0</v>
      </c>
      <c r="I62" s="13">
        <f t="shared" si="1"/>
        <v>0</v>
      </c>
      <c r="J62" s="11">
        <f>(SUM(G63:$G$79)*$I$1)</f>
        <v>0</v>
      </c>
      <c r="K62" s="11">
        <f t="shared" si="4"/>
        <v>0</v>
      </c>
    </row>
    <row r="63" spans="2:11" x14ac:dyDescent="0.25">
      <c r="B63">
        <v>59</v>
      </c>
      <c r="C63" s="12">
        <v>0</v>
      </c>
      <c r="D63" s="10">
        <f t="shared" si="2"/>
        <v>1</v>
      </c>
      <c r="E63" s="10">
        <f t="shared" si="5"/>
        <v>0</v>
      </c>
      <c r="F63" s="10">
        <f t="shared" si="6"/>
        <v>9.8862817061740368E-2</v>
      </c>
      <c r="G63" s="10">
        <f t="shared" si="3"/>
        <v>0</v>
      </c>
      <c r="I63" s="13">
        <f t="shared" si="1"/>
        <v>0</v>
      </c>
      <c r="J63" s="11">
        <f>(SUM(G64:$G$79)*$I$1)</f>
        <v>0</v>
      </c>
      <c r="K63" s="11">
        <f t="shared" si="4"/>
        <v>0</v>
      </c>
    </row>
    <row r="64" spans="2:11" x14ac:dyDescent="0.25">
      <c r="B64">
        <v>60</v>
      </c>
      <c r="C64" s="12">
        <v>0</v>
      </c>
      <c r="D64" s="10">
        <f t="shared" si="2"/>
        <v>1</v>
      </c>
      <c r="E64" s="10">
        <f t="shared" si="5"/>
        <v>0</v>
      </c>
      <c r="F64" s="10">
        <f t="shared" si="6"/>
        <v>9.506040102090417E-2</v>
      </c>
      <c r="G64" s="10">
        <f t="shared" si="3"/>
        <v>0</v>
      </c>
      <c r="I64" s="13">
        <f t="shared" si="1"/>
        <v>0</v>
      </c>
      <c r="J64" s="11">
        <f>(SUM(G65:$G$79)*$I$1)</f>
        <v>0</v>
      </c>
      <c r="K64" s="11">
        <f t="shared" si="4"/>
        <v>0</v>
      </c>
    </row>
    <row r="65" spans="2:11" x14ac:dyDescent="0.25">
      <c r="B65">
        <v>61</v>
      </c>
      <c r="C65" s="12">
        <v>0</v>
      </c>
      <c r="D65" s="10">
        <f t="shared" si="2"/>
        <v>1</v>
      </c>
      <c r="E65" s="10">
        <f t="shared" si="5"/>
        <v>0</v>
      </c>
      <c r="F65" s="10">
        <f t="shared" si="6"/>
        <v>9.1404231750869397E-2</v>
      </c>
      <c r="G65" s="10">
        <f t="shared" si="3"/>
        <v>0</v>
      </c>
      <c r="I65" s="13">
        <f t="shared" si="1"/>
        <v>0</v>
      </c>
      <c r="J65" s="11">
        <f>(SUM(G66:$G$79)*$I$1)</f>
        <v>0</v>
      </c>
      <c r="K65" s="11">
        <f t="shared" si="4"/>
        <v>0</v>
      </c>
    </row>
    <row r="66" spans="2:11" x14ac:dyDescent="0.25">
      <c r="B66">
        <v>62</v>
      </c>
      <c r="C66" s="12">
        <v>0</v>
      </c>
      <c r="D66" s="10">
        <f t="shared" si="2"/>
        <v>1</v>
      </c>
      <c r="E66" s="10">
        <f t="shared" si="5"/>
        <v>0</v>
      </c>
      <c r="F66" s="10">
        <f t="shared" si="6"/>
        <v>8.7888684375835968E-2</v>
      </c>
      <c r="G66" s="10">
        <f t="shared" si="3"/>
        <v>0</v>
      </c>
      <c r="I66" s="13">
        <f t="shared" si="1"/>
        <v>0</v>
      </c>
      <c r="J66" s="11">
        <f>(SUM(G67:$G$79)*$I$1)</f>
        <v>0</v>
      </c>
      <c r="K66" s="11">
        <f t="shared" si="4"/>
        <v>0</v>
      </c>
    </row>
    <row r="67" spans="2:11" x14ac:dyDescent="0.25">
      <c r="B67">
        <v>63</v>
      </c>
      <c r="C67" s="12">
        <v>0</v>
      </c>
      <c r="D67" s="10">
        <f t="shared" si="2"/>
        <v>1</v>
      </c>
      <c r="E67" s="10">
        <f t="shared" si="5"/>
        <v>0</v>
      </c>
      <c r="F67" s="10">
        <f t="shared" si="6"/>
        <v>8.4508350361380741E-2</v>
      </c>
      <c r="G67" s="10">
        <f t="shared" si="3"/>
        <v>0</v>
      </c>
      <c r="I67" s="13">
        <f t="shared" si="1"/>
        <v>0</v>
      </c>
      <c r="J67" s="11">
        <f>(SUM(G68:$G$79)*$I$1)</f>
        <v>0</v>
      </c>
      <c r="K67" s="11">
        <f t="shared" si="4"/>
        <v>0</v>
      </c>
    </row>
    <row r="68" spans="2:11" x14ac:dyDescent="0.25">
      <c r="B68">
        <v>64</v>
      </c>
      <c r="C68" s="12">
        <v>0</v>
      </c>
      <c r="D68" s="10">
        <f t="shared" si="2"/>
        <v>1</v>
      </c>
      <c r="E68" s="10">
        <f t="shared" si="5"/>
        <v>0</v>
      </c>
      <c r="F68" s="10">
        <f t="shared" si="6"/>
        <v>8.1258029193635312E-2</v>
      </c>
      <c r="G68" s="10">
        <f t="shared" si="3"/>
        <v>0</v>
      </c>
      <c r="I68" s="13">
        <f t="shared" si="1"/>
        <v>0</v>
      </c>
      <c r="J68" s="11">
        <f>(SUM(G69:$G$79)*$I$1)</f>
        <v>0</v>
      </c>
      <c r="K68" s="11">
        <f t="shared" si="4"/>
        <v>0</v>
      </c>
    </row>
    <row r="69" spans="2:11" x14ac:dyDescent="0.25">
      <c r="B69">
        <v>65</v>
      </c>
      <c r="C69" s="12">
        <v>0</v>
      </c>
      <c r="D69" s="10">
        <f t="shared" si="2"/>
        <v>1</v>
      </c>
      <c r="E69" s="10">
        <f t="shared" si="5"/>
        <v>0</v>
      </c>
      <c r="F69" s="10">
        <f t="shared" si="6"/>
        <v>7.8132720378495488E-2</v>
      </c>
      <c r="G69" s="10">
        <f t="shared" si="3"/>
        <v>0</v>
      </c>
      <c r="I69" s="13">
        <f t="shared" ref="I69:I79" si="7">E69*$I$1</f>
        <v>0</v>
      </c>
      <c r="J69" s="11">
        <f>(SUM(G70:$G$79)*$I$1)</f>
        <v>0</v>
      </c>
      <c r="K69" s="11">
        <f t="shared" si="4"/>
        <v>0</v>
      </c>
    </row>
    <row r="70" spans="2:11" x14ac:dyDescent="0.25">
      <c r="B70">
        <v>66</v>
      </c>
      <c r="C70" s="12">
        <v>0</v>
      </c>
      <c r="D70" s="10">
        <f t="shared" ref="D70:D79" si="8">1-C70</f>
        <v>1</v>
      </c>
      <c r="E70" s="10">
        <f t="shared" si="5"/>
        <v>0</v>
      </c>
      <c r="F70" s="10">
        <f t="shared" si="6"/>
        <v>7.5127615748553353E-2</v>
      </c>
      <c r="G70" s="10">
        <f t="shared" ref="G70:G79" si="9">F70*E70</f>
        <v>0</v>
      </c>
      <c r="I70" s="13">
        <f t="shared" si="7"/>
        <v>0</v>
      </c>
      <c r="J70" s="11">
        <f>(SUM(G71:$G$79)*$I$1)</f>
        <v>0</v>
      </c>
      <c r="K70" s="11">
        <f t="shared" ref="K70:K79" si="10">J70-J69</f>
        <v>0</v>
      </c>
    </row>
    <row r="71" spans="2:11" x14ac:dyDescent="0.25">
      <c r="B71">
        <v>67</v>
      </c>
      <c r="C71" s="12">
        <v>0</v>
      </c>
      <c r="D71" s="10">
        <f t="shared" si="8"/>
        <v>1</v>
      </c>
      <c r="E71" s="10">
        <f t="shared" ref="E71:E79" si="11">E70*D71</f>
        <v>0</v>
      </c>
      <c r="F71" s="10">
        <f t="shared" si="6"/>
        <v>7.2238092065916693E-2</v>
      </c>
      <c r="G71" s="10">
        <f t="shared" si="9"/>
        <v>0</v>
      </c>
      <c r="I71" s="13">
        <f t="shared" si="7"/>
        <v>0</v>
      </c>
      <c r="J71" s="11">
        <f>(SUM(G72:$G$79)*$I$1)</f>
        <v>0</v>
      </c>
      <c r="K71" s="11">
        <f t="shared" si="10"/>
        <v>0</v>
      </c>
    </row>
    <row r="72" spans="2:11" x14ac:dyDescent="0.25">
      <c r="B72">
        <v>68</v>
      </c>
      <c r="C72" s="12">
        <v>0</v>
      </c>
      <c r="D72" s="10">
        <f t="shared" si="8"/>
        <v>1</v>
      </c>
      <c r="E72" s="10">
        <f t="shared" si="11"/>
        <v>0</v>
      </c>
      <c r="F72" s="10">
        <f t="shared" si="6"/>
        <v>6.9459703909535264E-2</v>
      </c>
      <c r="G72" s="10">
        <f t="shared" si="9"/>
        <v>0</v>
      </c>
      <c r="I72" s="13">
        <f t="shared" si="7"/>
        <v>0</v>
      </c>
      <c r="J72" s="11">
        <f>(SUM(G73:$G$79)*$I$1)</f>
        <v>0</v>
      </c>
      <c r="K72" s="11">
        <f t="shared" si="10"/>
        <v>0</v>
      </c>
    </row>
    <row r="73" spans="2:11" x14ac:dyDescent="0.25">
      <c r="B73">
        <v>69</v>
      </c>
      <c r="C73" s="12">
        <v>0</v>
      </c>
      <c r="D73" s="10">
        <f t="shared" si="8"/>
        <v>1</v>
      </c>
      <c r="E73" s="10">
        <f t="shared" si="11"/>
        <v>0</v>
      </c>
      <c r="F73" s="10">
        <f t="shared" si="6"/>
        <v>6.6788176836091603E-2</v>
      </c>
      <c r="G73" s="10">
        <f t="shared" si="9"/>
        <v>0</v>
      </c>
      <c r="I73" s="13">
        <f t="shared" si="7"/>
        <v>0</v>
      </c>
      <c r="J73" s="11">
        <f>(SUM(G74:$G$79)*$I$1)</f>
        <v>0</v>
      </c>
      <c r="K73" s="11">
        <f t="shared" si="10"/>
        <v>0</v>
      </c>
    </row>
    <row r="74" spans="2:11" x14ac:dyDescent="0.25">
      <c r="B74">
        <v>70</v>
      </c>
      <c r="C74" s="12">
        <v>0</v>
      </c>
      <c r="D74" s="10">
        <f t="shared" si="8"/>
        <v>1</v>
      </c>
      <c r="E74" s="10">
        <f t="shared" si="11"/>
        <v>0</v>
      </c>
      <c r="F74" s="10">
        <f t="shared" si="6"/>
        <v>6.4219400803934235E-2</v>
      </c>
      <c r="G74" s="10">
        <f t="shared" si="9"/>
        <v>0</v>
      </c>
      <c r="I74" s="13">
        <f t="shared" si="7"/>
        <v>0</v>
      </c>
      <c r="J74" s="11">
        <f>(SUM(G75:$G$79)*$I$1)</f>
        <v>0</v>
      </c>
      <c r="K74" s="11">
        <f t="shared" si="10"/>
        <v>0</v>
      </c>
    </row>
    <row r="75" spans="2:11" x14ac:dyDescent="0.25">
      <c r="B75">
        <v>71</v>
      </c>
      <c r="C75" s="12">
        <v>0</v>
      </c>
      <c r="D75" s="10">
        <f t="shared" si="8"/>
        <v>1</v>
      </c>
      <c r="E75" s="10">
        <f t="shared" si="11"/>
        <v>0</v>
      </c>
      <c r="F75" s="10">
        <f t="shared" si="6"/>
        <v>6.1749423849936765E-2</v>
      </c>
      <c r="G75" s="10">
        <f t="shared" si="9"/>
        <v>0</v>
      </c>
      <c r="I75" s="13">
        <f t="shared" si="7"/>
        <v>0</v>
      </c>
      <c r="J75" s="11">
        <f>(SUM(G76:$G$79)*$I$1)</f>
        <v>0</v>
      </c>
      <c r="K75" s="11">
        <f t="shared" si="10"/>
        <v>0</v>
      </c>
    </row>
    <row r="76" spans="2:11" x14ac:dyDescent="0.25">
      <c r="B76">
        <v>72</v>
      </c>
      <c r="C76" s="12">
        <v>0</v>
      </c>
      <c r="D76" s="10">
        <f t="shared" si="8"/>
        <v>1</v>
      </c>
      <c r="E76" s="10">
        <f t="shared" si="11"/>
        <v>0</v>
      </c>
      <c r="F76" s="10">
        <f t="shared" si="6"/>
        <v>5.937444600955457E-2</v>
      </c>
      <c r="G76" s="10">
        <f t="shared" si="9"/>
        <v>0</v>
      </c>
      <c r="I76" s="13">
        <f t="shared" si="7"/>
        <v>0</v>
      </c>
      <c r="J76" s="11">
        <f>(SUM(G77:$G$79)*$I$1)</f>
        <v>0</v>
      </c>
      <c r="K76" s="11">
        <f t="shared" si="10"/>
        <v>0</v>
      </c>
    </row>
    <row r="77" spans="2:11" x14ac:dyDescent="0.25">
      <c r="B77">
        <v>73</v>
      </c>
      <c r="C77" s="12">
        <v>0</v>
      </c>
      <c r="D77" s="10">
        <f t="shared" si="8"/>
        <v>1</v>
      </c>
      <c r="E77" s="10">
        <f t="shared" si="11"/>
        <v>0</v>
      </c>
      <c r="F77" s="10">
        <f t="shared" si="6"/>
        <v>5.7090813470725546E-2</v>
      </c>
      <c r="G77" s="10">
        <f t="shared" si="9"/>
        <v>0</v>
      </c>
      <c r="I77" s="13">
        <f t="shared" si="7"/>
        <v>0</v>
      </c>
      <c r="J77" s="11">
        <f>(SUM(G78:$G$79)*$I$1)</f>
        <v>0</v>
      </c>
      <c r="K77" s="11">
        <f t="shared" si="10"/>
        <v>0</v>
      </c>
    </row>
    <row r="78" spans="2:11" x14ac:dyDescent="0.25">
      <c r="B78">
        <v>74</v>
      </c>
      <c r="C78" s="12">
        <v>0</v>
      </c>
      <c r="D78" s="10">
        <f t="shared" si="8"/>
        <v>1</v>
      </c>
      <c r="E78" s="10">
        <f t="shared" si="11"/>
        <v>0</v>
      </c>
      <c r="F78" s="10">
        <f t="shared" si="6"/>
        <v>5.4895012952620711E-2</v>
      </c>
      <c r="G78" s="10">
        <f t="shared" si="9"/>
        <v>0</v>
      </c>
      <c r="I78" s="13">
        <f t="shared" si="7"/>
        <v>0</v>
      </c>
      <c r="J78" s="11">
        <f>(SUM(G79:$G$79)*$I$1)</f>
        <v>0</v>
      </c>
      <c r="K78" s="11">
        <f t="shared" si="10"/>
        <v>0</v>
      </c>
    </row>
    <row r="79" spans="2:11" x14ac:dyDescent="0.25">
      <c r="B79">
        <v>75</v>
      </c>
      <c r="C79" s="12">
        <v>0</v>
      </c>
      <c r="D79" s="10">
        <f t="shared" si="8"/>
        <v>1</v>
      </c>
      <c r="E79" s="10">
        <f t="shared" si="11"/>
        <v>0</v>
      </c>
      <c r="F79" s="10">
        <f t="shared" si="6"/>
        <v>5.2783666300596846E-2</v>
      </c>
      <c r="G79" s="10">
        <f t="shared" si="9"/>
        <v>0</v>
      </c>
      <c r="I79" s="13">
        <f t="shared" si="7"/>
        <v>0</v>
      </c>
      <c r="J79" s="11">
        <f>(SUM(G$79:$G80)*$I$1)</f>
        <v>0</v>
      </c>
      <c r="K79" s="11">
        <f t="shared" si="10"/>
        <v>0</v>
      </c>
    </row>
    <row r="80" spans="2:11" x14ac:dyDescent="0.25">
      <c r="C80" s="25"/>
    </row>
    <row r="81" spans="3:5" x14ac:dyDescent="0.25">
      <c r="D81" s="35"/>
      <c r="E81" s="35"/>
    </row>
    <row r="82" spans="3:5" x14ac:dyDescent="0.25">
      <c r="D82" s="35"/>
      <c r="E82" s="35"/>
    </row>
    <row r="83" spans="3:5" x14ac:dyDescent="0.25">
      <c r="D83" s="35"/>
      <c r="E83" s="35"/>
    </row>
    <row r="84" spans="3:5" x14ac:dyDescent="0.25">
      <c r="D84" s="35"/>
      <c r="E84" s="35"/>
    </row>
    <row r="85" spans="3:5" x14ac:dyDescent="0.25">
      <c r="D85" s="35"/>
      <c r="E85" s="35"/>
    </row>
    <row r="86" spans="3:5" x14ac:dyDescent="0.25">
      <c r="D86" s="35"/>
      <c r="E86" s="35"/>
    </row>
    <row r="87" spans="3:5" x14ac:dyDescent="0.25">
      <c r="D87" s="35"/>
      <c r="E87" s="35"/>
    </row>
    <row r="89" spans="3:5" x14ac:dyDescent="0.25">
      <c r="C89" s="25"/>
    </row>
    <row r="90" spans="3:5" x14ac:dyDescent="0.25">
      <c r="C90" s="25"/>
    </row>
    <row r="91" spans="3:5" x14ac:dyDescent="0.25">
      <c r="C91" s="25"/>
    </row>
    <row r="92" spans="3:5" x14ac:dyDescent="0.25">
      <c r="C92" s="25"/>
    </row>
    <row r="93" spans="3:5" x14ac:dyDescent="0.25">
      <c r="C93" s="25"/>
    </row>
    <row r="94" spans="3:5" x14ac:dyDescent="0.25">
      <c r="C94" s="25"/>
    </row>
    <row r="95" spans="3:5" x14ac:dyDescent="0.25">
      <c r="C95" s="25"/>
    </row>
    <row r="96" spans="3:5" x14ac:dyDescent="0.25">
      <c r="C96" s="25"/>
    </row>
    <row r="97" spans="3:3" x14ac:dyDescent="0.25">
      <c r="C97" s="25"/>
    </row>
    <row r="98" spans="3:3" x14ac:dyDescent="0.25">
      <c r="C98" s="25"/>
    </row>
    <row r="99" spans="3:3" x14ac:dyDescent="0.25">
      <c r="C99" s="25"/>
    </row>
    <row r="100" spans="3:3" x14ac:dyDescent="0.25">
      <c r="C100" s="25"/>
    </row>
    <row r="101" spans="3:3" x14ac:dyDescent="0.25">
      <c r="C101" s="25"/>
    </row>
    <row r="102" spans="3:3" x14ac:dyDescent="0.25">
      <c r="C102" s="25"/>
    </row>
    <row r="103" spans="3:3" x14ac:dyDescent="0.25">
      <c r="C103" s="25"/>
    </row>
    <row r="104" spans="3:3" x14ac:dyDescent="0.25">
      <c r="C104" s="25"/>
    </row>
    <row r="105" spans="3:3" x14ac:dyDescent="0.25">
      <c r="C105" s="25"/>
    </row>
    <row r="106" spans="3:3" x14ac:dyDescent="0.25">
      <c r="C106" s="25"/>
    </row>
    <row r="107" spans="3:3" x14ac:dyDescent="0.25">
      <c r="C107" s="25"/>
    </row>
    <row r="108" spans="3:3" x14ac:dyDescent="0.25">
      <c r="C108" s="25"/>
    </row>
    <row r="109" spans="3:3" x14ac:dyDescent="0.25">
      <c r="C109" s="25"/>
    </row>
    <row r="110" spans="3:3" x14ac:dyDescent="0.25">
      <c r="C110" s="25"/>
    </row>
    <row r="111" spans="3:3" x14ac:dyDescent="0.25">
      <c r="C111" s="25"/>
    </row>
    <row r="112" spans="3:3" x14ac:dyDescent="0.25">
      <c r="C112" s="25"/>
    </row>
    <row r="113" spans="3:3" x14ac:dyDescent="0.25">
      <c r="C113" s="25"/>
    </row>
    <row r="114" spans="3:3" x14ac:dyDescent="0.25">
      <c r="C114" s="25"/>
    </row>
    <row r="115" spans="3:3" x14ac:dyDescent="0.25">
      <c r="C115" s="25"/>
    </row>
    <row r="116" spans="3:3" x14ac:dyDescent="0.25">
      <c r="C116" s="25"/>
    </row>
    <row r="117" spans="3:3" x14ac:dyDescent="0.25">
      <c r="C117" s="25"/>
    </row>
    <row r="118" spans="3:3" x14ac:dyDescent="0.25">
      <c r="C118" s="25"/>
    </row>
    <row r="119" spans="3:3" x14ac:dyDescent="0.25">
      <c r="C119" s="25"/>
    </row>
    <row r="120" spans="3:3" x14ac:dyDescent="0.25">
      <c r="C120" s="25"/>
    </row>
    <row r="121" spans="3:3" x14ac:dyDescent="0.25">
      <c r="C121" s="25"/>
    </row>
    <row r="122" spans="3:3" x14ac:dyDescent="0.25">
      <c r="C122" s="25"/>
    </row>
    <row r="123" spans="3:3" x14ac:dyDescent="0.25">
      <c r="C123" s="25"/>
    </row>
    <row r="124" spans="3:3" x14ac:dyDescent="0.25">
      <c r="C124" s="25"/>
    </row>
    <row r="125" spans="3:3" x14ac:dyDescent="0.25">
      <c r="C125" s="25"/>
    </row>
    <row r="126" spans="3:3" x14ac:dyDescent="0.25">
      <c r="C126" s="25"/>
    </row>
    <row r="127" spans="3:3" x14ac:dyDescent="0.25">
      <c r="C127" s="25"/>
    </row>
    <row r="128" spans="3:3" x14ac:dyDescent="0.25">
      <c r="C128" s="25"/>
    </row>
    <row r="129" spans="3:3" x14ac:dyDescent="0.25">
      <c r="C129" s="25"/>
    </row>
    <row r="130" spans="3:3" x14ac:dyDescent="0.25">
      <c r="C130" s="25"/>
    </row>
    <row r="131" spans="3:3" x14ac:dyDescent="0.25">
      <c r="C131" s="25"/>
    </row>
    <row r="132" spans="3:3" x14ac:dyDescent="0.25">
      <c r="C132" s="25"/>
    </row>
    <row r="133" spans="3:3" x14ac:dyDescent="0.25">
      <c r="C133" s="25"/>
    </row>
    <row r="134" spans="3:3" x14ac:dyDescent="0.25">
      <c r="C134" s="25"/>
    </row>
    <row r="135" spans="3:3" x14ac:dyDescent="0.25">
      <c r="C135" s="25"/>
    </row>
    <row r="136" spans="3:3" x14ac:dyDescent="0.25">
      <c r="C136" s="25"/>
    </row>
    <row r="137" spans="3:3" x14ac:dyDescent="0.25">
      <c r="C137" s="25"/>
    </row>
    <row r="138" spans="3:3" x14ac:dyDescent="0.25">
      <c r="C138" s="25"/>
    </row>
    <row r="139" spans="3:3" x14ac:dyDescent="0.25">
      <c r="C139" s="25"/>
    </row>
    <row r="140" spans="3:3" x14ac:dyDescent="0.25">
      <c r="C140" s="25"/>
    </row>
    <row r="141" spans="3:3" x14ac:dyDescent="0.25">
      <c r="C141" s="25"/>
    </row>
    <row r="142" spans="3:3" x14ac:dyDescent="0.25">
      <c r="C142" s="25"/>
    </row>
    <row r="143" spans="3:3" x14ac:dyDescent="0.25">
      <c r="C143" s="25"/>
    </row>
    <row r="144" spans="3:3"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hyperlinks>
    <hyperlink ref="J1" location="'Read Me'!A1" display="Return to 'Read Me'"/>
    <hyperlink ref="J2" location="Summary!A1" display="Return to 'Summary'"/>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904"/>
  <sheetViews>
    <sheetView workbookViewId="0">
      <selection activeCell="C82" sqref="C82:E89"/>
    </sheetView>
  </sheetViews>
  <sheetFormatPr defaultRowHeight="15" x14ac:dyDescent="0.25"/>
  <cols>
    <col min="3" max="7" width="10" bestFit="1" customWidth="1"/>
    <col min="9" max="10" width="13.25" customWidth="1"/>
    <col min="11" max="11" width="11.75" customWidth="1"/>
    <col min="12" max="12" width="11.875" customWidth="1"/>
    <col min="13" max="13" width="11.625" bestFit="1" customWidth="1"/>
    <col min="14" max="15" width="11.625" customWidth="1"/>
  </cols>
  <sheetData>
    <row r="1" spans="2:16" x14ac:dyDescent="0.25">
      <c r="B1" t="s">
        <v>49</v>
      </c>
      <c r="I1" s="3">
        <v>5000</v>
      </c>
      <c r="J1" s="181" t="s">
        <v>173</v>
      </c>
      <c r="L1" s="1"/>
      <c r="M1" s="4"/>
      <c r="N1" s="4"/>
      <c r="O1" s="4"/>
    </row>
    <row r="2" spans="2:16" ht="15" customHeight="1" x14ac:dyDescent="0.25">
      <c r="F2" s="5">
        <f>'Asset and Liability Durations'!I12</f>
        <v>0.04</v>
      </c>
      <c r="J2" s="166" t="s">
        <v>174</v>
      </c>
      <c r="L2" s="6"/>
      <c r="M2" s="4"/>
      <c r="N2" s="4"/>
      <c r="O2" s="4"/>
    </row>
    <row r="3" spans="2:16" ht="45" x14ac:dyDescent="0.25">
      <c r="B3" s="7" t="s">
        <v>7</v>
      </c>
      <c r="C3" s="8" t="s">
        <v>8</v>
      </c>
      <c r="D3" s="7" t="s">
        <v>9</v>
      </c>
      <c r="E3" s="7" t="s">
        <v>10</v>
      </c>
      <c r="F3" s="7" t="s">
        <v>11</v>
      </c>
      <c r="G3" s="7" t="s">
        <v>12</v>
      </c>
      <c r="I3" s="7" t="s">
        <v>13</v>
      </c>
      <c r="J3" s="7" t="s">
        <v>14</v>
      </c>
      <c r="L3" s="7" t="s">
        <v>15</v>
      </c>
      <c r="M3" s="9">
        <f>+SUMPRODUCT(B5:B59,I5:I59,F5:F59)/SUMPRODUCT(F5:F59,I5:I59)</f>
        <v>10.992523258465862</v>
      </c>
      <c r="N3" s="10"/>
      <c r="O3" s="10"/>
    </row>
    <row r="4" spans="2:16" x14ac:dyDescent="0.25">
      <c r="B4">
        <v>0</v>
      </c>
      <c r="C4" s="8"/>
      <c r="D4" s="7"/>
      <c r="E4" s="7"/>
      <c r="F4" s="7"/>
      <c r="G4" s="10">
        <v>1</v>
      </c>
      <c r="J4" s="11">
        <f>(SUM(G5:$G$79)*$I$1)</f>
        <v>78110.399718254441</v>
      </c>
    </row>
    <row r="5" spans="2:16" ht="15.75" thickBot="1" x14ac:dyDescent="0.3">
      <c r="B5">
        <v>1</v>
      </c>
      <c r="C5" s="12">
        <v>0</v>
      </c>
      <c r="D5" s="10">
        <f>1-C5</f>
        <v>1</v>
      </c>
      <c r="E5" s="10">
        <f>D5</f>
        <v>1</v>
      </c>
      <c r="F5" s="10">
        <f t="shared" ref="F5:F59" si="0">IF(D5=0,0,(1+$F$2)^-B5)</f>
        <v>0.96153846153846145</v>
      </c>
      <c r="G5" s="10">
        <f>F5*E5</f>
        <v>0.96153846153846145</v>
      </c>
      <c r="I5" s="13">
        <f t="shared" ref="I5:I68" si="1">E5*$I$1</f>
        <v>5000</v>
      </c>
      <c r="J5" s="11">
        <f>(SUM(G6:$G$79)*$I$1)</f>
        <v>73302.707410562129</v>
      </c>
      <c r="K5" s="11">
        <f>J5-J4</f>
        <v>-4807.6923076923122</v>
      </c>
      <c r="L5" s="14" t="s">
        <v>16</v>
      </c>
      <c r="M5" s="14" t="s">
        <v>17</v>
      </c>
      <c r="N5" s="14" t="s">
        <v>18</v>
      </c>
      <c r="O5" s="14" t="s">
        <v>47</v>
      </c>
    </row>
    <row r="6" spans="2:16" x14ac:dyDescent="0.25">
      <c r="B6">
        <v>2</v>
      </c>
      <c r="C6" s="12">
        <v>0</v>
      </c>
      <c r="D6" s="10">
        <f t="shared" ref="D6:D69" si="2">1-C6</f>
        <v>1</v>
      </c>
      <c r="E6" s="10">
        <f>E5*D6</f>
        <v>1</v>
      </c>
      <c r="F6" s="10">
        <f t="shared" si="0"/>
        <v>0.92455621301775137</v>
      </c>
      <c r="G6" s="10">
        <f t="shared" ref="G6:G69" si="3">F6*E6</f>
        <v>0.92455621301775137</v>
      </c>
      <c r="I6" s="13">
        <f t="shared" si="1"/>
        <v>5000</v>
      </c>
      <c r="J6" s="11">
        <f>(SUM(G7:$G$79)*$I$1)</f>
        <v>68679.926345473359</v>
      </c>
      <c r="K6" s="11">
        <f t="shared" ref="K6:K69" si="4">J6-J5</f>
        <v>-4622.7810650887695</v>
      </c>
      <c r="L6" s="14">
        <v>2</v>
      </c>
      <c r="M6" s="54" t="s">
        <v>44</v>
      </c>
      <c r="N6" s="15">
        <f>SUM(I5:I7)</f>
        <v>15000</v>
      </c>
      <c r="O6" s="16">
        <f>N6/SUM($N$6:$N$9)</f>
        <v>0.12</v>
      </c>
    </row>
    <row r="7" spans="2:16" x14ac:dyDescent="0.25">
      <c r="B7">
        <v>3</v>
      </c>
      <c r="C7" s="12">
        <v>0</v>
      </c>
      <c r="D7" s="10">
        <f t="shared" si="2"/>
        <v>1</v>
      </c>
      <c r="E7" s="10">
        <f t="shared" ref="E7:E70" si="5">E6*D7</f>
        <v>1</v>
      </c>
      <c r="F7" s="10">
        <f t="shared" si="0"/>
        <v>0.88899635867091487</v>
      </c>
      <c r="G7" s="10">
        <f t="shared" si="3"/>
        <v>0.88899635867091487</v>
      </c>
      <c r="I7" s="13">
        <f t="shared" si="1"/>
        <v>5000</v>
      </c>
      <c r="J7" s="11">
        <f>(SUM(G8:$G$79)*$I$1)</f>
        <v>64234.944552118788</v>
      </c>
      <c r="K7" s="11">
        <f t="shared" si="4"/>
        <v>-4444.981793354571</v>
      </c>
      <c r="L7" s="14">
        <v>5</v>
      </c>
      <c r="M7" s="19" t="s">
        <v>45</v>
      </c>
      <c r="N7" s="17">
        <f>SUM(I8:I11)</f>
        <v>20000</v>
      </c>
      <c r="O7" s="18">
        <f>N7/SUM($N$6:$N$9)</f>
        <v>0.16</v>
      </c>
    </row>
    <row r="8" spans="2:16" x14ac:dyDescent="0.25">
      <c r="B8">
        <v>4</v>
      </c>
      <c r="C8" s="12">
        <v>0</v>
      </c>
      <c r="D8" s="10">
        <f t="shared" si="2"/>
        <v>1</v>
      </c>
      <c r="E8" s="10">
        <f t="shared" si="5"/>
        <v>1</v>
      </c>
      <c r="F8" s="10">
        <f t="shared" si="0"/>
        <v>0.85480419102972571</v>
      </c>
      <c r="G8" s="10">
        <f t="shared" si="3"/>
        <v>0.85480419102972571</v>
      </c>
      <c r="I8" s="13">
        <f t="shared" si="1"/>
        <v>5000</v>
      </c>
      <c r="J8" s="11">
        <f>(SUM(G9:$G$79)*$I$1)</f>
        <v>59960.923596970162</v>
      </c>
      <c r="K8" s="11">
        <f t="shared" si="4"/>
        <v>-4274.0209551486259</v>
      </c>
      <c r="L8" s="14">
        <v>10</v>
      </c>
      <c r="M8" s="19" t="s">
        <v>46</v>
      </c>
      <c r="N8" s="17">
        <f>SUM(I12:I19)</f>
        <v>40000</v>
      </c>
      <c r="O8" s="18">
        <f>N8/SUM($N$6:$N$9)</f>
        <v>0.32</v>
      </c>
    </row>
    <row r="9" spans="2:16" ht="15.75" thickBot="1" x14ac:dyDescent="0.3">
      <c r="B9">
        <v>5</v>
      </c>
      <c r="C9" s="12">
        <v>0</v>
      </c>
      <c r="D9" s="10">
        <f t="shared" si="2"/>
        <v>1</v>
      </c>
      <c r="E9" s="10">
        <f t="shared" si="5"/>
        <v>1</v>
      </c>
      <c r="F9" s="10">
        <f t="shared" si="0"/>
        <v>0.82192710675935154</v>
      </c>
      <c r="G9" s="10">
        <f t="shared" si="3"/>
        <v>0.82192710675935154</v>
      </c>
      <c r="I9" s="13">
        <f t="shared" si="1"/>
        <v>5000</v>
      </c>
      <c r="J9" s="11">
        <f>(SUM(G10:$G$79)*$I$1)</f>
        <v>55851.288063173401</v>
      </c>
      <c r="K9" s="11">
        <f t="shared" si="4"/>
        <v>-4109.6355337967616</v>
      </c>
      <c r="L9" s="14">
        <v>30</v>
      </c>
      <c r="M9" s="20" t="s">
        <v>48</v>
      </c>
      <c r="N9" s="21">
        <f>SUM(I20:I70)</f>
        <v>50000</v>
      </c>
      <c r="O9" s="22">
        <f>N9/SUM($N$6:$N$9)</f>
        <v>0.4</v>
      </c>
    </row>
    <row r="10" spans="2:16" x14ac:dyDescent="0.25">
      <c r="B10">
        <v>6</v>
      </c>
      <c r="C10" s="12">
        <v>0</v>
      </c>
      <c r="D10" s="10">
        <f t="shared" si="2"/>
        <v>1</v>
      </c>
      <c r="E10" s="10">
        <f t="shared" si="5"/>
        <v>1</v>
      </c>
      <c r="F10" s="10">
        <f t="shared" si="0"/>
        <v>0.79031452573014571</v>
      </c>
      <c r="G10" s="10">
        <f t="shared" si="3"/>
        <v>0.79031452573014571</v>
      </c>
      <c r="I10" s="13">
        <f t="shared" si="1"/>
        <v>5000</v>
      </c>
      <c r="J10" s="11">
        <f>(SUM(G11:$G$79)*$I$1)</f>
        <v>51899.715434522681</v>
      </c>
      <c r="K10" s="11">
        <f t="shared" si="4"/>
        <v>-3951.5726286507197</v>
      </c>
      <c r="L10" s="53">
        <f>+SUMPRODUCT(L6:L9,O6:O9)</f>
        <v>16.240000000000002</v>
      </c>
      <c r="O10" s="23">
        <f>SUM(O6:O9)</f>
        <v>1</v>
      </c>
    </row>
    <row r="11" spans="2:16" x14ac:dyDescent="0.25">
      <c r="B11">
        <v>7</v>
      </c>
      <c r="C11" s="12">
        <v>0</v>
      </c>
      <c r="D11" s="10">
        <f t="shared" si="2"/>
        <v>1</v>
      </c>
      <c r="E11" s="10">
        <f t="shared" si="5"/>
        <v>1</v>
      </c>
      <c r="F11" s="10">
        <f t="shared" si="0"/>
        <v>0.75991781320206331</v>
      </c>
      <c r="G11" s="10">
        <f t="shared" si="3"/>
        <v>0.75991781320206331</v>
      </c>
      <c r="I11" s="13">
        <f t="shared" si="1"/>
        <v>5000</v>
      </c>
      <c r="J11" s="11">
        <f>(SUM(G12:$G$79)*$I$1)</f>
        <v>48100.126368512356</v>
      </c>
      <c r="K11" s="11">
        <f t="shared" si="4"/>
        <v>-3799.589066010325</v>
      </c>
    </row>
    <row r="12" spans="2:16" x14ac:dyDescent="0.25">
      <c r="B12">
        <v>8</v>
      </c>
      <c r="C12" s="12">
        <v>0</v>
      </c>
      <c r="D12" s="10">
        <f t="shared" si="2"/>
        <v>1</v>
      </c>
      <c r="E12" s="10">
        <f t="shared" si="5"/>
        <v>1</v>
      </c>
      <c r="F12" s="10">
        <f t="shared" si="0"/>
        <v>0.73069020500198378</v>
      </c>
      <c r="G12" s="10">
        <f t="shared" si="3"/>
        <v>0.73069020500198378</v>
      </c>
      <c r="I12" s="13">
        <f t="shared" si="1"/>
        <v>5000</v>
      </c>
      <c r="J12" s="11">
        <f>(SUM(G13:$G$79)*$I$1)</f>
        <v>44446.675343502429</v>
      </c>
      <c r="K12" s="11">
        <f t="shared" si="4"/>
        <v>-3653.4510250099265</v>
      </c>
    </row>
    <row r="13" spans="2:16" x14ac:dyDescent="0.25">
      <c r="B13">
        <v>9</v>
      </c>
      <c r="C13" s="12">
        <v>0</v>
      </c>
      <c r="D13" s="10">
        <f t="shared" si="2"/>
        <v>1</v>
      </c>
      <c r="E13" s="10">
        <f t="shared" si="5"/>
        <v>1</v>
      </c>
      <c r="F13" s="10">
        <f t="shared" si="0"/>
        <v>0.70258673557883045</v>
      </c>
      <c r="G13" s="10">
        <f t="shared" si="3"/>
        <v>0.70258673557883045</v>
      </c>
      <c r="I13" s="13">
        <f t="shared" si="1"/>
        <v>5000</v>
      </c>
      <c r="J13" s="11">
        <f>(SUM(G14:$G$79)*$I$1)</f>
        <v>40933.741665608293</v>
      </c>
      <c r="K13" s="11">
        <f t="shared" si="4"/>
        <v>-3512.9336778941361</v>
      </c>
    </row>
    <row r="14" spans="2:16" x14ac:dyDescent="0.25">
      <c r="B14">
        <v>10</v>
      </c>
      <c r="C14" s="12">
        <v>0</v>
      </c>
      <c r="D14" s="10">
        <f t="shared" si="2"/>
        <v>1</v>
      </c>
      <c r="E14" s="10">
        <f t="shared" si="5"/>
        <v>1</v>
      </c>
      <c r="F14" s="10">
        <f t="shared" si="0"/>
        <v>0.67556416882579851</v>
      </c>
      <c r="G14" s="10">
        <f t="shared" si="3"/>
        <v>0.67556416882579851</v>
      </c>
      <c r="I14" s="13">
        <f>E14*$I$1</f>
        <v>5000</v>
      </c>
      <c r="J14" s="11">
        <f>(SUM(G15:$G$79)*$I$1)</f>
        <v>37555.920821479296</v>
      </c>
      <c r="K14" s="11">
        <f t="shared" si="4"/>
        <v>-3377.8208441289971</v>
      </c>
    </row>
    <row r="15" spans="2:16" x14ac:dyDescent="0.25">
      <c r="B15">
        <v>11</v>
      </c>
      <c r="C15" s="12">
        <v>0</v>
      </c>
      <c r="D15" s="10">
        <f t="shared" si="2"/>
        <v>1</v>
      </c>
      <c r="E15" s="10">
        <f t="shared" si="5"/>
        <v>1</v>
      </c>
      <c r="F15" s="10">
        <f t="shared" si="0"/>
        <v>0.6495809315632679</v>
      </c>
      <c r="G15" s="10">
        <f t="shared" si="3"/>
        <v>0.6495809315632679</v>
      </c>
      <c r="I15" s="13">
        <f t="shared" si="1"/>
        <v>5000</v>
      </c>
      <c r="J15" s="11">
        <f>(SUM(G16:$G$79)*$I$1)</f>
        <v>34308.016163662956</v>
      </c>
      <c r="K15" s="11">
        <f t="shared" si="4"/>
        <v>-3247.9046578163397</v>
      </c>
      <c r="M15" s="24"/>
      <c r="N15" s="24"/>
      <c r="O15" s="24"/>
      <c r="P15" s="24"/>
    </row>
    <row r="16" spans="2:16" x14ac:dyDescent="0.25">
      <c r="B16">
        <v>12</v>
      </c>
      <c r="C16" s="12">
        <v>0</v>
      </c>
      <c r="D16" s="10">
        <f t="shared" si="2"/>
        <v>1</v>
      </c>
      <c r="E16" s="10">
        <f t="shared" si="5"/>
        <v>1</v>
      </c>
      <c r="F16" s="10">
        <f t="shared" si="0"/>
        <v>0.62459704958006512</v>
      </c>
      <c r="G16" s="10">
        <f t="shared" si="3"/>
        <v>0.62459704958006512</v>
      </c>
      <c r="I16" s="13">
        <f t="shared" si="1"/>
        <v>5000</v>
      </c>
      <c r="J16" s="11">
        <f>(SUM(G17:$G$79)*$I$1)</f>
        <v>31185.030915762636</v>
      </c>
      <c r="K16" s="11">
        <f t="shared" si="4"/>
        <v>-3122.9852479003202</v>
      </c>
      <c r="M16" s="24"/>
      <c r="N16" s="24"/>
      <c r="O16" s="24"/>
      <c r="P16" s="24"/>
    </row>
    <row r="17" spans="2:16" x14ac:dyDescent="0.25">
      <c r="B17">
        <v>13</v>
      </c>
      <c r="C17" s="12">
        <v>0</v>
      </c>
      <c r="D17" s="10">
        <f t="shared" si="2"/>
        <v>1</v>
      </c>
      <c r="E17" s="10">
        <f t="shared" si="5"/>
        <v>1</v>
      </c>
      <c r="F17" s="10">
        <f t="shared" si="0"/>
        <v>0.600574086134678</v>
      </c>
      <c r="G17" s="10">
        <f t="shared" si="3"/>
        <v>0.600574086134678</v>
      </c>
      <c r="I17" s="13">
        <f t="shared" si="1"/>
        <v>5000</v>
      </c>
      <c r="J17" s="11">
        <f>(SUM(G18:$G$79)*$I$1)</f>
        <v>28182.160485089244</v>
      </c>
      <c r="K17" s="11">
        <f t="shared" si="4"/>
        <v>-3002.8704306733925</v>
      </c>
      <c r="M17" s="24"/>
      <c r="N17" s="24"/>
      <c r="O17" s="24"/>
      <c r="P17" s="24"/>
    </row>
    <row r="18" spans="2:16" x14ac:dyDescent="0.25">
      <c r="B18">
        <v>14</v>
      </c>
      <c r="C18" s="12">
        <v>0</v>
      </c>
      <c r="D18" s="10">
        <f t="shared" si="2"/>
        <v>1</v>
      </c>
      <c r="E18" s="10">
        <f t="shared" si="5"/>
        <v>1</v>
      </c>
      <c r="F18" s="10">
        <f t="shared" si="0"/>
        <v>0.57747508282180582</v>
      </c>
      <c r="G18" s="10">
        <f t="shared" si="3"/>
        <v>0.57747508282180582</v>
      </c>
      <c r="I18" s="13">
        <f t="shared" si="1"/>
        <v>5000</v>
      </c>
      <c r="J18" s="11">
        <f>(SUM(G19:$G$79)*$I$1)</f>
        <v>25294.785070980219</v>
      </c>
      <c r="K18" s="11">
        <f t="shared" si="4"/>
        <v>-2887.3754141090249</v>
      </c>
      <c r="M18" s="24"/>
      <c r="N18" s="24"/>
      <c r="O18" s="24"/>
      <c r="P18" s="24"/>
    </row>
    <row r="19" spans="2:16" x14ac:dyDescent="0.25">
      <c r="B19">
        <v>15</v>
      </c>
      <c r="C19" s="12">
        <v>0</v>
      </c>
      <c r="D19" s="10">
        <f t="shared" si="2"/>
        <v>1</v>
      </c>
      <c r="E19" s="10">
        <f t="shared" si="5"/>
        <v>1</v>
      </c>
      <c r="F19" s="10">
        <f t="shared" si="0"/>
        <v>0.55526450271327477</v>
      </c>
      <c r="G19" s="10">
        <f t="shared" si="3"/>
        <v>0.55526450271327477</v>
      </c>
      <c r="I19" s="13">
        <f t="shared" si="1"/>
        <v>5000</v>
      </c>
      <c r="J19" s="11">
        <f>(SUM(G20:$G$79)*$I$1)</f>
        <v>22518.462557413844</v>
      </c>
      <c r="K19" s="11">
        <f t="shared" si="4"/>
        <v>-2776.3225135663743</v>
      </c>
      <c r="M19" s="24"/>
      <c r="N19" s="24"/>
      <c r="O19" s="24"/>
      <c r="P19" s="24"/>
    </row>
    <row r="20" spans="2:16" x14ac:dyDescent="0.25">
      <c r="B20">
        <v>16</v>
      </c>
      <c r="C20" s="12">
        <v>0</v>
      </c>
      <c r="D20" s="10">
        <f t="shared" si="2"/>
        <v>1</v>
      </c>
      <c r="E20" s="10">
        <f t="shared" si="5"/>
        <v>1</v>
      </c>
      <c r="F20" s="10">
        <f t="shared" si="0"/>
        <v>0.53390817568584104</v>
      </c>
      <c r="G20" s="10">
        <f t="shared" si="3"/>
        <v>0.53390817568584104</v>
      </c>
      <c r="I20" s="13">
        <f t="shared" si="1"/>
        <v>5000</v>
      </c>
      <c r="J20" s="11">
        <f>(SUM(G21:$G$79)*$I$1)</f>
        <v>19848.921678984636</v>
      </c>
      <c r="K20" s="11">
        <f t="shared" si="4"/>
        <v>-2669.5408784292085</v>
      </c>
      <c r="M20" s="24"/>
      <c r="N20" s="24"/>
      <c r="O20" s="24"/>
      <c r="P20" s="24"/>
    </row>
    <row r="21" spans="2:16" x14ac:dyDescent="0.25">
      <c r="B21">
        <v>17</v>
      </c>
      <c r="C21" s="12">
        <v>0</v>
      </c>
      <c r="D21" s="10">
        <f t="shared" si="2"/>
        <v>1</v>
      </c>
      <c r="E21" s="10">
        <f t="shared" si="5"/>
        <v>1</v>
      </c>
      <c r="F21" s="10">
        <f t="shared" si="0"/>
        <v>0.51337324585177024</v>
      </c>
      <c r="G21" s="10">
        <f t="shared" si="3"/>
        <v>0.51337324585177024</v>
      </c>
      <c r="I21" s="13">
        <f t="shared" si="1"/>
        <v>5000</v>
      </c>
      <c r="J21" s="11">
        <f>(SUM(G22:$G$79)*$I$1)</f>
        <v>17282.055449725784</v>
      </c>
      <c r="K21" s="11">
        <f t="shared" si="4"/>
        <v>-2566.8662292588524</v>
      </c>
      <c r="M21" s="24"/>
      <c r="N21" s="24"/>
      <c r="O21" s="24"/>
      <c r="P21" s="24"/>
    </row>
    <row r="22" spans="2:16" x14ac:dyDescent="0.25">
      <c r="B22">
        <v>18</v>
      </c>
      <c r="C22" s="12">
        <v>0</v>
      </c>
      <c r="D22" s="10">
        <f t="shared" si="2"/>
        <v>1</v>
      </c>
      <c r="E22" s="10">
        <f t="shared" si="5"/>
        <v>1</v>
      </c>
      <c r="F22" s="10">
        <f t="shared" si="0"/>
        <v>0.49362812101131748</v>
      </c>
      <c r="G22" s="10">
        <f t="shared" si="3"/>
        <v>0.49362812101131748</v>
      </c>
      <c r="I22" s="13">
        <f t="shared" si="1"/>
        <v>5000</v>
      </c>
      <c r="J22" s="11">
        <f>(SUM(G23:$G$79)*$I$1)</f>
        <v>14813.914844669196</v>
      </c>
      <c r="K22" s="11">
        <f t="shared" si="4"/>
        <v>-2468.1406050565874</v>
      </c>
      <c r="M22" s="24"/>
      <c r="N22" s="24"/>
      <c r="O22" s="24"/>
      <c r="P22" s="24"/>
    </row>
    <row r="23" spans="2:16" x14ac:dyDescent="0.25">
      <c r="B23">
        <v>19</v>
      </c>
      <c r="C23" s="12">
        <v>0</v>
      </c>
      <c r="D23" s="10">
        <f t="shared" si="2"/>
        <v>1</v>
      </c>
      <c r="E23" s="10">
        <f t="shared" si="5"/>
        <v>1</v>
      </c>
      <c r="F23" s="10">
        <f t="shared" si="0"/>
        <v>0.47464242404934376</v>
      </c>
      <c r="G23" s="10">
        <f t="shared" si="3"/>
        <v>0.47464242404934376</v>
      </c>
      <c r="I23" s="13">
        <f t="shared" si="1"/>
        <v>5000</v>
      </c>
      <c r="J23" s="11">
        <f>(SUM(G24:$G$79)*$I$1)</f>
        <v>12440.702724422477</v>
      </c>
      <c r="K23" s="11">
        <f t="shared" si="4"/>
        <v>-2373.2121202467188</v>
      </c>
      <c r="M23" s="24"/>
      <c r="N23" s="24"/>
      <c r="O23" s="24"/>
      <c r="P23" s="24"/>
    </row>
    <row r="24" spans="2:16" x14ac:dyDescent="0.25">
      <c r="B24">
        <v>20</v>
      </c>
      <c r="C24" s="12">
        <v>0</v>
      </c>
      <c r="D24" s="10">
        <f t="shared" si="2"/>
        <v>1</v>
      </c>
      <c r="E24" s="10">
        <f t="shared" si="5"/>
        <v>1</v>
      </c>
      <c r="F24" s="10">
        <f t="shared" si="0"/>
        <v>0.45638694620129205</v>
      </c>
      <c r="G24" s="10">
        <f t="shared" si="3"/>
        <v>0.45638694620129205</v>
      </c>
      <c r="I24" s="13">
        <f t="shared" si="1"/>
        <v>5000</v>
      </c>
      <c r="J24" s="11">
        <f>(SUM(G25:$G$79)*$I$1)</f>
        <v>10158.767993416015</v>
      </c>
      <c r="K24" s="11">
        <f t="shared" si="4"/>
        <v>-2281.9347310064622</v>
      </c>
      <c r="M24" s="24"/>
      <c r="N24" s="24"/>
      <c r="O24" s="24"/>
      <c r="P24" s="24"/>
    </row>
    <row r="25" spans="2:16" x14ac:dyDescent="0.25">
      <c r="B25">
        <v>21</v>
      </c>
      <c r="C25" s="12">
        <v>0</v>
      </c>
      <c r="D25" s="10">
        <f t="shared" si="2"/>
        <v>1</v>
      </c>
      <c r="E25" s="10">
        <f t="shared" si="5"/>
        <v>1</v>
      </c>
      <c r="F25" s="10">
        <f t="shared" si="0"/>
        <v>0.43883360211662686</v>
      </c>
      <c r="G25" s="10">
        <f t="shared" si="3"/>
        <v>0.43883360211662686</v>
      </c>
      <c r="I25" s="13">
        <f t="shared" si="1"/>
        <v>5000</v>
      </c>
      <c r="J25" s="11">
        <f>(SUM(G26:$G$79)*$I$1)</f>
        <v>7964.5999828328804</v>
      </c>
      <c r="K25" s="11">
        <f t="shared" si="4"/>
        <v>-2194.1680105831347</v>
      </c>
      <c r="M25" s="24"/>
      <c r="N25" s="24"/>
      <c r="O25" s="24"/>
      <c r="P25" s="24"/>
    </row>
    <row r="26" spans="2:16" x14ac:dyDescent="0.25">
      <c r="B26">
        <v>22</v>
      </c>
      <c r="C26" s="12">
        <v>0</v>
      </c>
      <c r="D26" s="10">
        <f t="shared" si="2"/>
        <v>1</v>
      </c>
      <c r="E26" s="10">
        <f t="shared" si="5"/>
        <v>1</v>
      </c>
      <c r="F26" s="10">
        <f t="shared" si="0"/>
        <v>0.42195538665060278</v>
      </c>
      <c r="G26" s="10">
        <f t="shared" si="3"/>
        <v>0.42195538665060278</v>
      </c>
      <c r="I26" s="13">
        <f t="shared" si="1"/>
        <v>5000</v>
      </c>
      <c r="J26" s="11">
        <f>(SUM(G27:$G$79)*$I$1)</f>
        <v>5854.8230495798671</v>
      </c>
      <c r="K26" s="11">
        <f t="shared" si="4"/>
        <v>-2109.7769332530133</v>
      </c>
      <c r="M26" s="24"/>
      <c r="N26" s="24"/>
      <c r="O26" s="24"/>
      <c r="P26" s="24"/>
    </row>
    <row r="27" spans="2:16" x14ac:dyDescent="0.25">
      <c r="B27">
        <v>23</v>
      </c>
      <c r="C27" s="12">
        <v>0</v>
      </c>
      <c r="D27" s="10">
        <f t="shared" si="2"/>
        <v>1</v>
      </c>
      <c r="E27" s="10">
        <f t="shared" si="5"/>
        <v>1</v>
      </c>
      <c r="F27" s="10">
        <f t="shared" si="0"/>
        <v>0.40572633331788732</v>
      </c>
      <c r="G27" s="10">
        <f t="shared" si="3"/>
        <v>0.40572633331788732</v>
      </c>
      <c r="I27" s="13">
        <f t="shared" si="1"/>
        <v>5000</v>
      </c>
      <c r="J27" s="11">
        <f>(SUM(G28:$G$79)*$I$1)</f>
        <v>3826.1913829904311</v>
      </c>
      <c r="K27" s="11">
        <f t="shared" si="4"/>
        <v>-2028.631666589436</v>
      </c>
      <c r="M27" s="24"/>
      <c r="N27" s="24"/>
      <c r="O27" s="24"/>
      <c r="P27" s="24"/>
    </row>
    <row r="28" spans="2:16" x14ac:dyDescent="0.25">
      <c r="B28">
        <v>24</v>
      </c>
      <c r="C28" s="12">
        <v>0</v>
      </c>
      <c r="D28" s="10">
        <f t="shared" si="2"/>
        <v>1</v>
      </c>
      <c r="E28" s="10">
        <f t="shared" si="5"/>
        <v>1</v>
      </c>
      <c r="F28" s="10">
        <f t="shared" si="0"/>
        <v>0.39012147434412242</v>
      </c>
      <c r="G28" s="10">
        <f t="shared" si="3"/>
        <v>0.39012147434412242</v>
      </c>
      <c r="I28" s="13">
        <f t="shared" si="1"/>
        <v>5000</v>
      </c>
      <c r="J28" s="11">
        <f>(SUM(G29:$G$79)*$I$1)</f>
        <v>1875.5840112698188</v>
      </c>
      <c r="K28" s="11">
        <f t="shared" si="4"/>
        <v>-1950.6073717206123</v>
      </c>
      <c r="M28" s="24"/>
      <c r="N28" s="24"/>
      <c r="O28" s="24"/>
      <c r="P28" s="24"/>
    </row>
    <row r="29" spans="2:16" x14ac:dyDescent="0.25">
      <c r="B29">
        <v>25</v>
      </c>
      <c r="C29" s="12">
        <v>0</v>
      </c>
      <c r="D29" s="10">
        <f t="shared" si="2"/>
        <v>1</v>
      </c>
      <c r="E29" s="10">
        <f t="shared" si="5"/>
        <v>1</v>
      </c>
      <c r="F29" s="10">
        <f t="shared" si="0"/>
        <v>0.37511680225396377</v>
      </c>
      <c r="G29" s="10">
        <f t="shared" si="3"/>
        <v>0.37511680225396377</v>
      </c>
      <c r="I29" s="13">
        <f t="shared" si="1"/>
        <v>5000</v>
      </c>
      <c r="J29" s="11">
        <f>(SUM(G30:$G$79)*$I$1)</f>
        <v>0</v>
      </c>
      <c r="K29" s="11">
        <f t="shared" si="4"/>
        <v>-1875.5840112698188</v>
      </c>
      <c r="M29" s="24"/>
      <c r="N29" s="24"/>
      <c r="O29" s="24"/>
      <c r="P29" s="24"/>
    </row>
    <row r="30" spans="2:16" x14ac:dyDescent="0.25">
      <c r="B30">
        <v>26</v>
      </c>
      <c r="C30" s="12">
        <v>1</v>
      </c>
      <c r="D30" s="10">
        <f t="shared" si="2"/>
        <v>0</v>
      </c>
      <c r="E30" s="10">
        <f t="shared" si="5"/>
        <v>0</v>
      </c>
      <c r="F30" s="10">
        <f t="shared" si="0"/>
        <v>0</v>
      </c>
      <c r="G30" s="10">
        <f t="shared" si="3"/>
        <v>0</v>
      </c>
      <c r="I30" s="13">
        <f t="shared" si="1"/>
        <v>0</v>
      </c>
      <c r="J30" s="11">
        <f>(SUM(G31:$G$79)*$I$1)</f>
        <v>0</v>
      </c>
      <c r="K30" s="11">
        <f t="shared" si="4"/>
        <v>0</v>
      </c>
      <c r="M30" s="24"/>
      <c r="N30" s="24"/>
      <c r="O30" s="24"/>
      <c r="P30" s="24"/>
    </row>
    <row r="31" spans="2:16" x14ac:dyDescent="0.25">
      <c r="B31">
        <v>27</v>
      </c>
      <c r="C31" s="12">
        <v>0</v>
      </c>
      <c r="D31" s="10">
        <f t="shared" si="2"/>
        <v>1</v>
      </c>
      <c r="E31" s="10">
        <f t="shared" si="5"/>
        <v>0</v>
      </c>
      <c r="F31" s="10">
        <f t="shared" si="0"/>
        <v>0.3468165701312535</v>
      </c>
      <c r="G31" s="10">
        <f t="shared" si="3"/>
        <v>0</v>
      </c>
      <c r="I31" s="13">
        <f t="shared" si="1"/>
        <v>0</v>
      </c>
      <c r="J31" s="11">
        <f>(SUM(G32:$G$79)*$I$1)</f>
        <v>0</v>
      </c>
      <c r="K31" s="11">
        <f t="shared" si="4"/>
        <v>0</v>
      </c>
      <c r="M31" s="24"/>
      <c r="N31" s="24"/>
      <c r="O31" s="24"/>
      <c r="P31" s="24"/>
    </row>
    <row r="32" spans="2:16" x14ac:dyDescent="0.25">
      <c r="B32">
        <v>28</v>
      </c>
      <c r="C32" s="12">
        <v>0</v>
      </c>
      <c r="D32" s="10">
        <f t="shared" si="2"/>
        <v>1</v>
      </c>
      <c r="E32" s="10">
        <f t="shared" si="5"/>
        <v>0</v>
      </c>
      <c r="F32" s="10">
        <f t="shared" si="0"/>
        <v>0.3334774712800514</v>
      </c>
      <c r="G32" s="10">
        <f t="shared" si="3"/>
        <v>0</v>
      </c>
      <c r="I32" s="13">
        <f t="shared" si="1"/>
        <v>0</v>
      </c>
      <c r="J32" s="11">
        <f>(SUM(G33:$G$79)*$I$1)</f>
        <v>0</v>
      </c>
      <c r="K32" s="11">
        <f t="shared" si="4"/>
        <v>0</v>
      </c>
      <c r="M32" s="24"/>
      <c r="N32" s="24"/>
      <c r="O32" s="24"/>
      <c r="P32" s="24"/>
    </row>
    <row r="33" spans="2:16" x14ac:dyDescent="0.25">
      <c r="B33">
        <v>29</v>
      </c>
      <c r="C33" s="12">
        <v>0</v>
      </c>
      <c r="D33" s="10">
        <f t="shared" si="2"/>
        <v>1</v>
      </c>
      <c r="E33" s="10">
        <f t="shared" si="5"/>
        <v>0</v>
      </c>
      <c r="F33" s="10">
        <f t="shared" si="0"/>
        <v>0.32065141469235708</v>
      </c>
      <c r="G33" s="10">
        <f t="shared" si="3"/>
        <v>0</v>
      </c>
      <c r="I33" s="13">
        <f t="shared" si="1"/>
        <v>0</v>
      </c>
      <c r="J33" s="11">
        <f>(SUM(G34:$G$79)*$I$1)</f>
        <v>0</v>
      </c>
      <c r="K33" s="11">
        <f t="shared" si="4"/>
        <v>0</v>
      </c>
      <c r="M33" s="24"/>
      <c r="N33" s="24"/>
      <c r="O33" s="24"/>
      <c r="P33" s="24"/>
    </row>
    <row r="34" spans="2:16" x14ac:dyDescent="0.25">
      <c r="B34">
        <v>30</v>
      </c>
      <c r="C34" s="12">
        <v>0</v>
      </c>
      <c r="D34" s="10">
        <f t="shared" si="2"/>
        <v>1</v>
      </c>
      <c r="E34" s="10">
        <f t="shared" si="5"/>
        <v>0</v>
      </c>
      <c r="F34" s="10">
        <f t="shared" si="0"/>
        <v>0.30831866797342034</v>
      </c>
      <c r="G34" s="10">
        <f t="shared" si="3"/>
        <v>0</v>
      </c>
      <c r="I34" s="13">
        <f t="shared" si="1"/>
        <v>0</v>
      </c>
      <c r="J34" s="11">
        <f>(SUM(G35:$G$79)*$I$1)</f>
        <v>0</v>
      </c>
      <c r="K34" s="11">
        <f t="shared" si="4"/>
        <v>0</v>
      </c>
      <c r="M34" s="24"/>
      <c r="N34" s="24"/>
      <c r="O34" s="24"/>
      <c r="P34" s="24"/>
    </row>
    <row r="35" spans="2:16" x14ac:dyDescent="0.25">
      <c r="B35">
        <v>31</v>
      </c>
      <c r="C35" s="12">
        <v>0</v>
      </c>
      <c r="D35" s="10">
        <f t="shared" si="2"/>
        <v>1</v>
      </c>
      <c r="E35" s="10">
        <f t="shared" si="5"/>
        <v>0</v>
      </c>
      <c r="F35" s="10">
        <f t="shared" si="0"/>
        <v>0.29646025766675027</v>
      </c>
      <c r="G35" s="10">
        <f t="shared" si="3"/>
        <v>0</v>
      </c>
      <c r="I35" s="13">
        <f t="shared" si="1"/>
        <v>0</v>
      </c>
      <c r="J35" s="11">
        <f>(SUM(G36:$G$79)*$I$1)</f>
        <v>0</v>
      </c>
      <c r="K35" s="11">
        <f t="shared" si="4"/>
        <v>0</v>
      </c>
      <c r="M35" s="24"/>
      <c r="N35" s="24"/>
      <c r="O35" s="24"/>
      <c r="P35" s="24"/>
    </row>
    <row r="36" spans="2:16" x14ac:dyDescent="0.25">
      <c r="B36">
        <v>32</v>
      </c>
      <c r="C36" s="12">
        <v>0</v>
      </c>
      <c r="D36" s="10">
        <f t="shared" si="2"/>
        <v>1</v>
      </c>
      <c r="E36" s="10">
        <f t="shared" si="5"/>
        <v>0</v>
      </c>
      <c r="F36" s="10">
        <f t="shared" si="0"/>
        <v>0.28505794006418295</v>
      </c>
      <c r="G36" s="10">
        <f t="shared" si="3"/>
        <v>0</v>
      </c>
      <c r="I36" s="13">
        <f t="shared" si="1"/>
        <v>0</v>
      </c>
      <c r="J36" s="11">
        <f>(SUM(G37:$G$79)*$I$1)</f>
        <v>0</v>
      </c>
      <c r="K36" s="11">
        <f t="shared" si="4"/>
        <v>0</v>
      </c>
      <c r="M36" s="24"/>
      <c r="N36" s="24"/>
      <c r="O36" s="24"/>
      <c r="P36" s="24"/>
    </row>
    <row r="37" spans="2:16" x14ac:dyDescent="0.25">
      <c r="B37">
        <v>33</v>
      </c>
      <c r="C37" s="12">
        <v>0</v>
      </c>
      <c r="D37" s="10">
        <f t="shared" si="2"/>
        <v>1</v>
      </c>
      <c r="E37" s="10">
        <f t="shared" si="5"/>
        <v>0</v>
      </c>
      <c r="F37" s="10">
        <f t="shared" si="0"/>
        <v>0.27409417313863743</v>
      </c>
      <c r="G37" s="10">
        <f t="shared" si="3"/>
        <v>0</v>
      </c>
      <c r="I37" s="13">
        <f t="shared" si="1"/>
        <v>0</v>
      </c>
      <c r="J37" s="11">
        <f>(SUM(G38:$G$79)*$I$1)</f>
        <v>0</v>
      </c>
      <c r="K37" s="11">
        <f t="shared" si="4"/>
        <v>0</v>
      </c>
      <c r="M37" s="24"/>
      <c r="N37" s="24"/>
      <c r="O37" s="24"/>
      <c r="P37" s="24"/>
    </row>
    <row r="38" spans="2:16" x14ac:dyDescent="0.25">
      <c r="B38">
        <v>34</v>
      </c>
      <c r="C38" s="12">
        <v>0</v>
      </c>
      <c r="D38" s="10">
        <f t="shared" si="2"/>
        <v>1</v>
      </c>
      <c r="E38" s="10">
        <f t="shared" si="5"/>
        <v>0</v>
      </c>
      <c r="F38" s="10">
        <f t="shared" si="0"/>
        <v>0.26355208955638215</v>
      </c>
      <c r="G38" s="10">
        <f t="shared" si="3"/>
        <v>0</v>
      </c>
      <c r="I38" s="13">
        <f t="shared" si="1"/>
        <v>0</v>
      </c>
      <c r="J38" s="11">
        <f>(SUM(G39:$G$79)*$I$1)</f>
        <v>0</v>
      </c>
      <c r="K38" s="11">
        <f t="shared" si="4"/>
        <v>0</v>
      </c>
      <c r="M38" s="24"/>
      <c r="N38" s="24"/>
      <c r="O38" s="24"/>
      <c r="P38" s="24"/>
    </row>
    <row r="39" spans="2:16" x14ac:dyDescent="0.25">
      <c r="B39">
        <v>35</v>
      </c>
      <c r="C39" s="12">
        <v>0</v>
      </c>
      <c r="D39" s="10">
        <f t="shared" si="2"/>
        <v>1</v>
      </c>
      <c r="E39" s="10">
        <f t="shared" si="5"/>
        <v>0</v>
      </c>
      <c r="F39" s="10">
        <f t="shared" si="0"/>
        <v>0.25341547072729048</v>
      </c>
      <c r="G39" s="10">
        <f t="shared" si="3"/>
        <v>0</v>
      </c>
      <c r="I39" s="13">
        <f t="shared" si="1"/>
        <v>0</v>
      </c>
      <c r="J39" s="11">
        <f>(SUM(G40:$G$79)*$I$1)</f>
        <v>0</v>
      </c>
      <c r="K39" s="11">
        <f t="shared" si="4"/>
        <v>0</v>
      </c>
      <c r="M39" s="24"/>
      <c r="N39" s="24"/>
      <c r="O39" s="24"/>
      <c r="P39" s="24"/>
    </row>
    <row r="40" spans="2:16" x14ac:dyDescent="0.25">
      <c r="B40">
        <v>36</v>
      </c>
      <c r="C40" s="12">
        <v>0</v>
      </c>
      <c r="D40" s="10">
        <f t="shared" si="2"/>
        <v>1</v>
      </c>
      <c r="E40" s="10">
        <f t="shared" si="5"/>
        <v>0</v>
      </c>
      <c r="F40" s="10">
        <f t="shared" si="0"/>
        <v>0.24366872185316396</v>
      </c>
      <c r="G40" s="10">
        <f t="shared" si="3"/>
        <v>0</v>
      </c>
      <c r="I40" s="13">
        <f t="shared" si="1"/>
        <v>0</v>
      </c>
      <c r="J40" s="11">
        <f>(SUM(G41:$G$79)*$I$1)</f>
        <v>0</v>
      </c>
      <c r="K40" s="11">
        <f t="shared" si="4"/>
        <v>0</v>
      </c>
      <c r="M40" s="24"/>
      <c r="N40" s="24"/>
      <c r="O40" s="24"/>
      <c r="P40" s="24"/>
    </row>
    <row r="41" spans="2:16" x14ac:dyDescent="0.25">
      <c r="B41">
        <v>37</v>
      </c>
      <c r="C41" s="12">
        <v>0</v>
      </c>
      <c r="D41" s="10">
        <f t="shared" si="2"/>
        <v>1</v>
      </c>
      <c r="E41" s="10">
        <f t="shared" si="5"/>
        <v>0</v>
      </c>
      <c r="F41" s="10">
        <f t="shared" si="0"/>
        <v>0.23429684793573452</v>
      </c>
      <c r="G41" s="10">
        <f t="shared" si="3"/>
        <v>0</v>
      </c>
      <c r="I41" s="13">
        <f t="shared" si="1"/>
        <v>0</v>
      </c>
      <c r="J41" s="11">
        <f>(SUM(G42:$G$79)*$I$1)</f>
        <v>0</v>
      </c>
      <c r="K41" s="11">
        <f t="shared" si="4"/>
        <v>0</v>
      </c>
      <c r="M41" s="24"/>
      <c r="N41" s="24"/>
      <c r="O41" s="24"/>
      <c r="P41" s="24"/>
    </row>
    <row r="42" spans="2:16" x14ac:dyDescent="0.25">
      <c r="B42">
        <v>38</v>
      </c>
      <c r="C42" s="12">
        <v>0</v>
      </c>
      <c r="D42" s="10">
        <f t="shared" si="2"/>
        <v>1</v>
      </c>
      <c r="E42" s="10">
        <f t="shared" si="5"/>
        <v>0</v>
      </c>
      <c r="F42" s="10">
        <f t="shared" si="0"/>
        <v>0.22528543070743706</v>
      </c>
      <c r="G42" s="10">
        <f t="shared" si="3"/>
        <v>0</v>
      </c>
      <c r="I42" s="13">
        <f t="shared" si="1"/>
        <v>0</v>
      </c>
      <c r="J42" s="11">
        <f>(SUM(G43:$G$79)*$I$1)</f>
        <v>0</v>
      </c>
      <c r="K42" s="11">
        <f t="shared" si="4"/>
        <v>0</v>
      </c>
      <c r="M42" s="24"/>
      <c r="N42" s="24"/>
      <c r="O42" s="24"/>
      <c r="P42" s="24"/>
    </row>
    <row r="43" spans="2:16" x14ac:dyDescent="0.25">
      <c r="B43">
        <v>39</v>
      </c>
      <c r="C43" s="12">
        <v>0</v>
      </c>
      <c r="D43" s="10">
        <f t="shared" si="2"/>
        <v>1</v>
      </c>
      <c r="E43" s="10">
        <f t="shared" si="5"/>
        <v>0</v>
      </c>
      <c r="F43" s="10">
        <f t="shared" si="0"/>
        <v>0.21662060644945874</v>
      </c>
      <c r="G43" s="10">
        <f t="shared" si="3"/>
        <v>0</v>
      </c>
      <c r="I43" s="13">
        <f t="shared" si="1"/>
        <v>0</v>
      </c>
      <c r="J43" s="11">
        <f>(SUM(G44:$G$79)*$I$1)</f>
        <v>0</v>
      </c>
      <c r="K43" s="11">
        <f t="shared" si="4"/>
        <v>0</v>
      </c>
    </row>
    <row r="44" spans="2:16" x14ac:dyDescent="0.25">
      <c r="B44">
        <v>40</v>
      </c>
      <c r="C44" s="12">
        <v>0</v>
      </c>
      <c r="D44" s="10">
        <f t="shared" si="2"/>
        <v>1</v>
      </c>
      <c r="E44" s="10">
        <f t="shared" si="5"/>
        <v>0</v>
      </c>
      <c r="F44" s="10">
        <f t="shared" si="0"/>
        <v>0.20828904466294101</v>
      </c>
      <c r="G44" s="10">
        <f t="shared" si="3"/>
        <v>0</v>
      </c>
      <c r="I44" s="13">
        <f t="shared" si="1"/>
        <v>0</v>
      </c>
      <c r="J44" s="11">
        <f>(SUM(G45:$G$79)*$I$1)</f>
        <v>0</v>
      </c>
      <c r="K44" s="11">
        <f t="shared" si="4"/>
        <v>0</v>
      </c>
    </row>
    <row r="45" spans="2:16" x14ac:dyDescent="0.25">
      <c r="B45">
        <v>41</v>
      </c>
      <c r="C45" s="12">
        <v>0</v>
      </c>
      <c r="D45" s="10">
        <f t="shared" si="2"/>
        <v>1</v>
      </c>
      <c r="E45" s="10">
        <f t="shared" si="5"/>
        <v>0</v>
      </c>
      <c r="F45" s="10">
        <f t="shared" si="0"/>
        <v>0.20027792756052021</v>
      </c>
      <c r="G45" s="10">
        <f t="shared" si="3"/>
        <v>0</v>
      </c>
      <c r="I45" s="13">
        <f t="shared" si="1"/>
        <v>0</v>
      </c>
      <c r="J45" s="11">
        <f>(SUM(G46:$G$79)*$I$1)</f>
        <v>0</v>
      </c>
      <c r="K45" s="11">
        <f t="shared" si="4"/>
        <v>0</v>
      </c>
    </row>
    <row r="46" spans="2:16" x14ac:dyDescent="0.25">
      <c r="B46">
        <v>42</v>
      </c>
      <c r="C46" s="12">
        <v>0</v>
      </c>
      <c r="D46" s="10">
        <f t="shared" si="2"/>
        <v>1</v>
      </c>
      <c r="E46" s="10">
        <f t="shared" si="5"/>
        <v>0</v>
      </c>
      <c r="F46" s="10">
        <f t="shared" si="0"/>
        <v>0.19257493034665407</v>
      </c>
      <c r="G46" s="10">
        <f t="shared" si="3"/>
        <v>0</v>
      </c>
      <c r="I46" s="13">
        <f t="shared" si="1"/>
        <v>0</v>
      </c>
      <c r="J46" s="11">
        <f>(SUM(G47:$G$79)*$I$1)</f>
        <v>0</v>
      </c>
      <c r="K46" s="11">
        <f t="shared" si="4"/>
        <v>0</v>
      </c>
    </row>
    <row r="47" spans="2:16" x14ac:dyDescent="0.25">
      <c r="B47">
        <v>43</v>
      </c>
      <c r="C47" s="12">
        <v>0</v>
      </c>
      <c r="D47" s="10">
        <f t="shared" si="2"/>
        <v>1</v>
      </c>
      <c r="E47" s="10">
        <f t="shared" si="5"/>
        <v>0</v>
      </c>
      <c r="F47" s="10">
        <f t="shared" si="0"/>
        <v>0.18516820225639813</v>
      </c>
      <c r="G47" s="10">
        <f t="shared" si="3"/>
        <v>0</v>
      </c>
      <c r="I47" s="13">
        <f t="shared" si="1"/>
        <v>0</v>
      </c>
      <c r="J47" s="11">
        <f>(SUM(G48:$G$79)*$I$1)</f>
        <v>0</v>
      </c>
      <c r="K47" s="11">
        <f t="shared" si="4"/>
        <v>0</v>
      </c>
    </row>
    <row r="48" spans="2:16" x14ac:dyDescent="0.25">
      <c r="B48">
        <v>44</v>
      </c>
      <c r="C48" s="12">
        <v>0</v>
      </c>
      <c r="D48" s="10">
        <f t="shared" si="2"/>
        <v>1</v>
      </c>
      <c r="E48" s="10">
        <f t="shared" si="5"/>
        <v>0</v>
      </c>
      <c r="F48" s="10">
        <f t="shared" si="0"/>
        <v>0.17804634832345972</v>
      </c>
      <c r="G48" s="10">
        <f t="shared" si="3"/>
        <v>0</v>
      </c>
      <c r="I48" s="13">
        <f t="shared" si="1"/>
        <v>0</v>
      </c>
      <c r="J48" s="11">
        <f>(SUM(G49:$G$79)*$I$1)</f>
        <v>0</v>
      </c>
      <c r="K48" s="11">
        <f t="shared" si="4"/>
        <v>0</v>
      </c>
    </row>
    <row r="49" spans="2:11" x14ac:dyDescent="0.25">
      <c r="B49">
        <v>45</v>
      </c>
      <c r="C49" s="12">
        <v>0</v>
      </c>
      <c r="D49" s="10">
        <f t="shared" si="2"/>
        <v>1</v>
      </c>
      <c r="E49" s="10">
        <f t="shared" si="5"/>
        <v>0</v>
      </c>
      <c r="F49" s="10">
        <f t="shared" si="0"/>
        <v>0.17119841184948048</v>
      </c>
      <c r="G49" s="10">
        <f t="shared" si="3"/>
        <v>0</v>
      </c>
      <c r="I49" s="13">
        <f t="shared" si="1"/>
        <v>0</v>
      </c>
      <c r="J49" s="11">
        <f>(SUM(G50:$G$79)*$I$1)</f>
        <v>0</v>
      </c>
      <c r="K49" s="11">
        <f t="shared" si="4"/>
        <v>0</v>
      </c>
    </row>
    <row r="50" spans="2:11" x14ac:dyDescent="0.25">
      <c r="B50">
        <v>46</v>
      </c>
      <c r="C50" s="12">
        <v>0</v>
      </c>
      <c r="D50" s="10">
        <f t="shared" si="2"/>
        <v>1</v>
      </c>
      <c r="E50" s="10">
        <f t="shared" si="5"/>
        <v>0</v>
      </c>
      <c r="F50" s="10">
        <f t="shared" si="0"/>
        <v>0.1646138575475774</v>
      </c>
      <c r="G50" s="10">
        <f t="shared" si="3"/>
        <v>0</v>
      </c>
      <c r="I50" s="13">
        <f t="shared" si="1"/>
        <v>0</v>
      </c>
      <c r="J50" s="11">
        <f>(SUM(G51:$G$79)*$I$1)</f>
        <v>0</v>
      </c>
      <c r="K50" s="11">
        <f t="shared" si="4"/>
        <v>0</v>
      </c>
    </row>
    <row r="51" spans="2:11" x14ac:dyDescent="0.25">
      <c r="B51">
        <v>47</v>
      </c>
      <c r="C51" s="12">
        <v>0</v>
      </c>
      <c r="D51" s="10">
        <f t="shared" si="2"/>
        <v>1</v>
      </c>
      <c r="E51" s="10">
        <f t="shared" si="5"/>
        <v>0</v>
      </c>
      <c r="F51" s="10">
        <f t="shared" si="0"/>
        <v>0.15828255533420904</v>
      </c>
      <c r="G51" s="10">
        <f t="shared" si="3"/>
        <v>0</v>
      </c>
      <c r="I51" s="13">
        <f t="shared" si="1"/>
        <v>0</v>
      </c>
      <c r="J51" s="11">
        <f>(SUM(G52:$G$79)*$I$1)</f>
        <v>0</v>
      </c>
      <c r="K51" s="11">
        <f t="shared" si="4"/>
        <v>0</v>
      </c>
    </row>
    <row r="52" spans="2:11" x14ac:dyDescent="0.25">
      <c r="B52">
        <v>48</v>
      </c>
      <c r="C52" s="12">
        <v>0</v>
      </c>
      <c r="D52" s="10">
        <f t="shared" si="2"/>
        <v>1</v>
      </c>
      <c r="E52" s="10">
        <f t="shared" si="5"/>
        <v>0</v>
      </c>
      <c r="F52" s="10">
        <f t="shared" si="0"/>
        <v>0.15219476474443175</v>
      </c>
      <c r="G52" s="10">
        <f t="shared" si="3"/>
        <v>0</v>
      </c>
      <c r="I52" s="13">
        <f t="shared" si="1"/>
        <v>0</v>
      </c>
      <c r="J52" s="11">
        <f>(SUM(G53:$G$79)*$I$1)</f>
        <v>0</v>
      </c>
      <c r="K52" s="11">
        <f t="shared" si="4"/>
        <v>0</v>
      </c>
    </row>
    <row r="53" spans="2:11" x14ac:dyDescent="0.25">
      <c r="B53">
        <v>49</v>
      </c>
      <c r="C53" s="12">
        <v>0</v>
      </c>
      <c r="D53" s="10">
        <f t="shared" si="2"/>
        <v>1</v>
      </c>
      <c r="E53" s="10">
        <f t="shared" si="5"/>
        <v>0</v>
      </c>
      <c r="F53" s="10">
        <f t="shared" si="0"/>
        <v>0.14634111994656898</v>
      </c>
      <c r="G53" s="10">
        <f t="shared" si="3"/>
        <v>0</v>
      </c>
      <c r="I53" s="13">
        <f t="shared" si="1"/>
        <v>0</v>
      </c>
      <c r="J53" s="11">
        <f>(SUM(G54:$G$79)*$I$1)</f>
        <v>0</v>
      </c>
      <c r="K53" s="11">
        <f t="shared" si="4"/>
        <v>0</v>
      </c>
    </row>
    <row r="54" spans="2:11" x14ac:dyDescent="0.25">
      <c r="B54">
        <v>50</v>
      </c>
      <c r="C54" s="12">
        <v>0</v>
      </c>
      <c r="D54" s="10">
        <f t="shared" si="2"/>
        <v>1</v>
      </c>
      <c r="E54" s="10">
        <f t="shared" si="5"/>
        <v>0</v>
      </c>
      <c r="F54" s="10">
        <f t="shared" si="0"/>
        <v>0.14071261533323939</v>
      </c>
      <c r="G54" s="10">
        <f t="shared" si="3"/>
        <v>0</v>
      </c>
      <c r="I54" s="13">
        <f t="shared" si="1"/>
        <v>0</v>
      </c>
      <c r="J54" s="11">
        <f>(SUM(G55:$G$79)*$I$1)</f>
        <v>0</v>
      </c>
      <c r="K54" s="11">
        <f t="shared" si="4"/>
        <v>0</v>
      </c>
    </row>
    <row r="55" spans="2:11" x14ac:dyDescent="0.25">
      <c r="B55">
        <v>51</v>
      </c>
      <c r="C55" s="12">
        <v>0</v>
      </c>
      <c r="D55" s="10">
        <f t="shared" si="2"/>
        <v>1</v>
      </c>
      <c r="E55" s="10">
        <f t="shared" si="5"/>
        <v>0</v>
      </c>
      <c r="F55" s="10">
        <f t="shared" si="0"/>
        <v>0.13530059166657632</v>
      </c>
      <c r="G55" s="10">
        <f t="shared" si="3"/>
        <v>0</v>
      </c>
      <c r="I55" s="13">
        <f t="shared" si="1"/>
        <v>0</v>
      </c>
      <c r="J55" s="11">
        <f>(SUM(G56:$G$79)*$I$1)</f>
        <v>0</v>
      </c>
      <c r="K55" s="11">
        <f t="shared" si="4"/>
        <v>0</v>
      </c>
    </row>
    <row r="56" spans="2:11" x14ac:dyDescent="0.25">
      <c r="B56">
        <v>52</v>
      </c>
      <c r="C56" s="12">
        <v>0</v>
      </c>
      <c r="D56" s="10">
        <f t="shared" si="2"/>
        <v>1</v>
      </c>
      <c r="E56" s="10">
        <f t="shared" si="5"/>
        <v>0</v>
      </c>
      <c r="F56" s="10">
        <f t="shared" si="0"/>
        <v>0.13009672275632339</v>
      </c>
      <c r="G56" s="10">
        <f t="shared" si="3"/>
        <v>0</v>
      </c>
      <c r="I56" s="13">
        <f t="shared" si="1"/>
        <v>0</v>
      </c>
      <c r="J56" s="11">
        <f>(SUM(G57:$G$79)*$I$1)</f>
        <v>0</v>
      </c>
      <c r="K56" s="11">
        <f t="shared" si="4"/>
        <v>0</v>
      </c>
    </row>
    <row r="57" spans="2:11" x14ac:dyDescent="0.25">
      <c r="B57">
        <v>53</v>
      </c>
      <c r="C57" s="12">
        <v>0</v>
      </c>
      <c r="D57" s="10">
        <f t="shared" si="2"/>
        <v>1</v>
      </c>
      <c r="E57" s="10">
        <f t="shared" si="5"/>
        <v>0</v>
      </c>
      <c r="F57" s="10">
        <f t="shared" si="0"/>
        <v>0.12509300265031092</v>
      </c>
      <c r="G57" s="10">
        <f t="shared" si="3"/>
        <v>0</v>
      </c>
      <c r="I57" s="13">
        <f t="shared" si="1"/>
        <v>0</v>
      </c>
      <c r="J57" s="11">
        <f>(SUM(G58:$G$79)*$I$1)</f>
        <v>0</v>
      </c>
      <c r="K57" s="11">
        <f t="shared" si="4"/>
        <v>0</v>
      </c>
    </row>
    <row r="58" spans="2:11" x14ac:dyDescent="0.25">
      <c r="B58">
        <v>54</v>
      </c>
      <c r="C58" s="12">
        <v>0</v>
      </c>
      <c r="D58" s="10">
        <f t="shared" si="2"/>
        <v>1</v>
      </c>
      <c r="E58" s="10">
        <f t="shared" si="5"/>
        <v>0</v>
      </c>
      <c r="F58" s="10">
        <f t="shared" si="0"/>
        <v>0.12028173331760666</v>
      </c>
      <c r="G58" s="10">
        <f t="shared" si="3"/>
        <v>0</v>
      </c>
      <c r="I58" s="13">
        <f t="shared" si="1"/>
        <v>0</v>
      </c>
      <c r="J58" s="11">
        <f>(SUM(G59:$G$79)*$I$1)</f>
        <v>0</v>
      </c>
      <c r="K58" s="11">
        <f t="shared" si="4"/>
        <v>0</v>
      </c>
    </row>
    <row r="59" spans="2:11" x14ac:dyDescent="0.25">
      <c r="B59">
        <v>55</v>
      </c>
      <c r="C59" s="12">
        <v>0</v>
      </c>
      <c r="D59" s="10">
        <f t="shared" si="2"/>
        <v>1</v>
      </c>
      <c r="E59" s="10">
        <f t="shared" si="5"/>
        <v>0</v>
      </c>
      <c r="F59" s="10">
        <f t="shared" si="0"/>
        <v>0.11565551280539103</v>
      </c>
      <c r="G59" s="10">
        <f t="shared" si="3"/>
        <v>0</v>
      </c>
      <c r="I59" s="13">
        <f t="shared" si="1"/>
        <v>0</v>
      </c>
      <c r="J59" s="11">
        <f>(SUM(G60:$G$79)*$I$1)</f>
        <v>0</v>
      </c>
      <c r="K59" s="11">
        <f t="shared" si="4"/>
        <v>0</v>
      </c>
    </row>
    <row r="60" spans="2:11" x14ac:dyDescent="0.25">
      <c r="B60">
        <v>56</v>
      </c>
      <c r="C60" s="12">
        <v>0</v>
      </c>
      <c r="D60" s="10">
        <f t="shared" si="2"/>
        <v>1</v>
      </c>
      <c r="E60" s="10">
        <f t="shared" si="5"/>
        <v>0</v>
      </c>
      <c r="F60" s="10">
        <f>IF(D60=0,0,(1+$F$2)^-B60)</f>
        <v>0.11120722385133754</v>
      </c>
      <c r="G60" s="10">
        <f t="shared" si="3"/>
        <v>0</v>
      </c>
      <c r="I60" s="13">
        <f t="shared" si="1"/>
        <v>0</v>
      </c>
      <c r="J60" s="11">
        <f>(SUM(G61:$G$79)*$I$1)</f>
        <v>0</v>
      </c>
      <c r="K60" s="11">
        <f t="shared" si="4"/>
        <v>0</v>
      </c>
    </row>
    <row r="61" spans="2:11" x14ac:dyDescent="0.25">
      <c r="B61">
        <v>57</v>
      </c>
      <c r="C61" s="12">
        <v>0</v>
      </c>
      <c r="D61" s="10">
        <f t="shared" si="2"/>
        <v>1</v>
      </c>
      <c r="E61" s="10">
        <f t="shared" si="5"/>
        <v>0</v>
      </c>
      <c r="F61" s="10">
        <f t="shared" ref="F61:F79" si="6">IF(D61=0,0,(1+$F$2)^-B61)</f>
        <v>0.10693002293397837</v>
      </c>
      <c r="G61" s="10">
        <f t="shared" si="3"/>
        <v>0</v>
      </c>
      <c r="I61" s="13">
        <f t="shared" si="1"/>
        <v>0</v>
      </c>
      <c r="J61" s="11">
        <f>(SUM(G62:$G$79)*$I$1)</f>
        <v>0</v>
      </c>
      <c r="K61" s="11">
        <f t="shared" si="4"/>
        <v>0</v>
      </c>
    </row>
    <row r="62" spans="2:11" x14ac:dyDescent="0.25">
      <c r="B62">
        <v>58</v>
      </c>
      <c r="C62" s="12">
        <v>0</v>
      </c>
      <c r="D62" s="10">
        <f t="shared" si="2"/>
        <v>1</v>
      </c>
      <c r="E62" s="10">
        <f t="shared" si="5"/>
        <v>0</v>
      </c>
      <c r="F62" s="10">
        <f t="shared" si="6"/>
        <v>0.10281732974420998</v>
      </c>
      <c r="G62" s="10">
        <f t="shared" si="3"/>
        <v>0</v>
      </c>
      <c r="I62" s="13">
        <f t="shared" si="1"/>
        <v>0</v>
      </c>
      <c r="J62" s="11">
        <f>(SUM(G63:$G$79)*$I$1)</f>
        <v>0</v>
      </c>
      <c r="K62" s="11">
        <f t="shared" si="4"/>
        <v>0</v>
      </c>
    </row>
    <row r="63" spans="2:11" x14ac:dyDescent="0.25">
      <c r="B63">
        <v>59</v>
      </c>
      <c r="C63" s="12">
        <v>0</v>
      </c>
      <c r="D63" s="10">
        <f t="shared" si="2"/>
        <v>1</v>
      </c>
      <c r="E63" s="10">
        <f t="shared" si="5"/>
        <v>0</v>
      </c>
      <c r="F63" s="10">
        <f t="shared" si="6"/>
        <v>9.8862817061740368E-2</v>
      </c>
      <c r="G63" s="10">
        <f t="shared" si="3"/>
        <v>0</v>
      </c>
      <c r="I63" s="13">
        <f t="shared" si="1"/>
        <v>0</v>
      </c>
      <c r="J63" s="11">
        <f>(SUM(G64:$G$79)*$I$1)</f>
        <v>0</v>
      </c>
      <c r="K63" s="11">
        <f t="shared" si="4"/>
        <v>0</v>
      </c>
    </row>
    <row r="64" spans="2:11" x14ac:dyDescent="0.25">
      <c r="B64">
        <v>60</v>
      </c>
      <c r="C64" s="12">
        <v>0</v>
      </c>
      <c r="D64" s="10">
        <f t="shared" si="2"/>
        <v>1</v>
      </c>
      <c r="E64" s="10">
        <f t="shared" si="5"/>
        <v>0</v>
      </c>
      <c r="F64" s="10">
        <f t="shared" si="6"/>
        <v>9.506040102090417E-2</v>
      </c>
      <c r="G64" s="10">
        <f t="shared" si="3"/>
        <v>0</v>
      </c>
      <c r="I64" s="13">
        <f t="shared" si="1"/>
        <v>0</v>
      </c>
      <c r="J64" s="11">
        <f>(SUM(G65:$G$79)*$I$1)</f>
        <v>0</v>
      </c>
      <c r="K64" s="11">
        <f t="shared" si="4"/>
        <v>0</v>
      </c>
    </row>
    <row r="65" spans="2:11" x14ac:dyDescent="0.25">
      <c r="B65">
        <v>61</v>
      </c>
      <c r="C65" s="12">
        <v>0</v>
      </c>
      <c r="D65" s="10">
        <f t="shared" si="2"/>
        <v>1</v>
      </c>
      <c r="E65" s="10">
        <f t="shared" si="5"/>
        <v>0</v>
      </c>
      <c r="F65" s="10">
        <f t="shared" si="6"/>
        <v>9.1404231750869397E-2</v>
      </c>
      <c r="G65" s="10">
        <f t="shared" si="3"/>
        <v>0</v>
      </c>
      <c r="I65" s="13">
        <f t="shared" si="1"/>
        <v>0</v>
      </c>
      <c r="J65" s="11">
        <f>(SUM(G66:$G$79)*$I$1)</f>
        <v>0</v>
      </c>
      <c r="K65" s="11">
        <f t="shared" si="4"/>
        <v>0</v>
      </c>
    </row>
    <row r="66" spans="2:11" x14ac:dyDescent="0.25">
      <c r="B66">
        <v>62</v>
      </c>
      <c r="C66" s="12">
        <v>0</v>
      </c>
      <c r="D66" s="10">
        <f t="shared" si="2"/>
        <v>1</v>
      </c>
      <c r="E66" s="10">
        <f t="shared" si="5"/>
        <v>0</v>
      </c>
      <c r="F66" s="10">
        <f t="shared" si="6"/>
        <v>8.7888684375835968E-2</v>
      </c>
      <c r="G66" s="10">
        <f t="shared" si="3"/>
        <v>0</v>
      </c>
      <c r="I66" s="13">
        <f t="shared" si="1"/>
        <v>0</v>
      </c>
      <c r="J66" s="11">
        <f>(SUM(G67:$G$79)*$I$1)</f>
        <v>0</v>
      </c>
      <c r="K66" s="11">
        <f t="shared" si="4"/>
        <v>0</v>
      </c>
    </row>
    <row r="67" spans="2:11" x14ac:dyDescent="0.25">
      <c r="B67">
        <v>63</v>
      </c>
      <c r="C67" s="12">
        <v>0</v>
      </c>
      <c r="D67" s="10">
        <f t="shared" si="2"/>
        <v>1</v>
      </c>
      <c r="E67" s="10">
        <f t="shared" si="5"/>
        <v>0</v>
      </c>
      <c r="F67" s="10">
        <f t="shared" si="6"/>
        <v>8.4508350361380741E-2</v>
      </c>
      <c r="G67" s="10">
        <f t="shared" si="3"/>
        <v>0</v>
      </c>
      <c r="I67" s="13">
        <f t="shared" si="1"/>
        <v>0</v>
      </c>
      <c r="J67" s="11">
        <f>(SUM(G68:$G$79)*$I$1)</f>
        <v>0</v>
      </c>
      <c r="K67" s="11">
        <f t="shared" si="4"/>
        <v>0</v>
      </c>
    </row>
    <row r="68" spans="2:11" x14ac:dyDescent="0.25">
      <c r="B68">
        <v>64</v>
      </c>
      <c r="C68" s="12">
        <v>0</v>
      </c>
      <c r="D68" s="10">
        <f t="shared" si="2"/>
        <v>1</v>
      </c>
      <c r="E68" s="10">
        <f t="shared" si="5"/>
        <v>0</v>
      </c>
      <c r="F68" s="10">
        <f t="shared" si="6"/>
        <v>8.1258029193635312E-2</v>
      </c>
      <c r="G68" s="10">
        <f t="shared" si="3"/>
        <v>0</v>
      </c>
      <c r="I68" s="13">
        <f t="shared" si="1"/>
        <v>0</v>
      </c>
      <c r="J68" s="11">
        <f>(SUM(G69:$G$79)*$I$1)</f>
        <v>0</v>
      </c>
      <c r="K68" s="11">
        <f t="shared" si="4"/>
        <v>0</v>
      </c>
    </row>
    <row r="69" spans="2:11" x14ac:dyDescent="0.25">
      <c r="B69">
        <v>65</v>
      </c>
      <c r="C69" s="12">
        <v>0</v>
      </c>
      <c r="D69" s="10">
        <f t="shared" si="2"/>
        <v>1</v>
      </c>
      <c r="E69" s="10">
        <f t="shared" si="5"/>
        <v>0</v>
      </c>
      <c r="F69" s="10">
        <f t="shared" si="6"/>
        <v>7.8132720378495488E-2</v>
      </c>
      <c r="G69" s="10">
        <f t="shared" si="3"/>
        <v>0</v>
      </c>
      <c r="I69" s="13">
        <f t="shared" ref="I69:I79" si="7">E69*$I$1</f>
        <v>0</v>
      </c>
      <c r="J69" s="11">
        <f>(SUM(G70:$G$79)*$I$1)</f>
        <v>0</v>
      </c>
      <c r="K69" s="11">
        <f t="shared" si="4"/>
        <v>0</v>
      </c>
    </row>
    <row r="70" spans="2:11" x14ac:dyDescent="0.25">
      <c r="B70">
        <v>66</v>
      </c>
      <c r="C70" s="12">
        <v>0</v>
      </c>
      <c r="D70" s="10">
        <f t="shared" ref="D70:D79" si="8">1-C70</f>
        <v>1</v>
      </c>
      <c r="E70" s="10">
        <f t="shared" si="5"/>
        <v>0</v>
      </c>
      <c r="F70" s="10">
        <f t="shared" si="6"/>
        <v>7.5127615748553353E-2</v>
      </c>
      <c r="G70" s="10">
        <f t="shared" ref="G70:G79" si="9">F70*E70</f>
        <v>0</v>
      </c>
      <c r="I70" s="13">
        <f t="shared" si="7"/>
        <v>0</v>
      </c>
      <c r="J70" s="11">
        <f>(SUM(G71:$G$79)*$I$1)</f>
        <v>0</v>
      </c>
      <c r="K70" s="11">
        <f t="shared" ref="K70:K79" si="10">J70-J69</f>
        <v>0</v>
      </c>
    </row>
    <row r="71" spans="2:11" x14ac:dyDescent="0.25">
      <c r="B71">
        <v>67</v>
      </c>
      <c r="C71" s="12">
        <v>0</v>
      </c>
      <c r="D71" s="10">
        <f t="shared" si="8"/>
        <v>1</v>
      </c>
      <c r="E71" s="10">
        <f t="shared" ref="E71:E79" si="11">E70*D71</f>
        <v>0</v>
      </c>
      <c r="F71" s="10">
        <f t="shared" si="6"/>
        <v>7.2238092065916693E-2</v>
      </c>
      <c r="G71" s="10">
        <f t="shared" si="9"/>
        <v>0</v>
      </c>
      <c r="I71" s="13">
        <f t="shared" si="7"/>
        <v>0</v>
      </c>
      <c r="J71" s="11">
        <f>(SUM(G72:$G$79)*$I$1)</f>
        <v>0</v>
      </c>
      <c r="K71" s="11">
        <f t="shared" si="10"/>
        <v>0</v>
      </c>
    </row>
    <row r="72" spans="2:11" x14ac:dyDescent="0.25">
      <c r="B72">
        <v>68</v>
      </c>
      <c r="C72" s="12">
        <v>0</v>
      </c>
      <c r="D72" s="10">
        <f t="shared" si="8"/>
        <v>1</v>
      </c>
      <c r="E72" s="10">
        <f t="shared" si="11"/>
        <v>0</v>
      </c>
      <c r="F72" s="10">
        <f t="shared" si="6"/>
        <v>6.9459703909535264E-2</v>
      </c>
      <c r="G72" s="10">
        <f t="shared" si="9"/>
        <v>0</v>
      </c>
      <c r="I72" s="13">
        <f t="shared" si="7"/>
        <v>0</v>
      </c>
      <c r="J72" s="11">
        <f>(SUM(G73:$G$79)*$I$1)</f>
        <v>0</v>
      </c>
      <c r="K72" s="11">
        <f t="shared" si="10"/>
        <v>0</v>
      </c>
    </row>
    <row r="73" spans="2:11" x14ac:dyDescent="0.25">
      <c r="B73">
        <v>69</v>
      </c>
      <c r="C73" s="12">
        <v>0</v>
      </c>
      <c r="D73" s="10">
        <f t="shared" si="8"/>
        <v>1</v>
      </c>
      <c r="E73" s="10">
        <f t="shared" si="11"/>
        <v>0</v>
      </c>
      <c r="F73" s="10">
        <f t="shared" si="6"/>
        <v>6.6788176836091603E-2</v>
      </c>
      <c r="G73" s="10">
        <f t="shared" si="9"/>
        <v>0</v>
      </c>
      <c r="I73" s="13">
        <f t="shared" si="7"/>
        <v>0</v>
      </c>
      <c r="J73" s="11">
        <f>(SUM(G74:$G$79)*$I$1)</f>
        <v>0</v>
      </c>
      <c r="K73" s="11">
        <f t="shared" si="10"/>
        <v>0</v>
      </c>
    </row>
    <row r="74" spans="2:11" x14ac:dyDescent="0.25">
      <c r="B74">
        <v>70</v>
      </c>
      <c r="C74" s="12">
        <v>0</v>
      </c>
      <c r="D74" s="10">
        <f t="shared" si="8"/>
        <v>1</v>
      </c>
      <c r="E74" s="10">
        <f t="shared" si="11"/>
        <v>0</v>
      </c>
      <c r="F74" s="10">
        <f t="shared" si="6"/>
        <v>6.4219400803934235E-2</v>
      </c>
      <c r="G74" s="10">
        <f t="shared" si="9"/>
        <v>0</v>
      </c>
      <c r="I74" s="13">
        <f t="shared" si="7"/>
        <v>0</v>
      </c>
      <c r="J74" s="11">
        <f>(SUM(G75:$G$79)*$I$1)</f>
        <v>0</v>
      </c>
      <c r="K74" s="11">
        <f t="shared" si="10"/>
        <v>0</v>
      </c>
    </row>
    <row r="75" spans="2:11" x14ac:dyDescent="0.25">
      <c r="B75">
        <v>71</v>
      </c>
      <c r="C75" s="12">
        <v>0</v>
      </c>
      <c r="D75" s="10">
        <f t="shared" si="8"/>
        <v>1</v>
      </c>
      <c r="E75" s="10">
        <f t="shared" si="11"/>
        <v>0</v>
      </c>
      <c r="F75" s="10">
        <f t="shared" si="6"/>
        <v>6.1749423849936765E-2</v>
      </c>
      <c r="G75" s="10">
        <f t="shared" si="9"/>
        <v>0</v>
      </c>
      <c r="I75" s="13">
        <f t="shared" si="7"/>
        <v>0</v>
      </c>
      <c r="J75" s="11">
        <f>(SUM(G76:$G$79)*$I$1)</f>
        <v>0</v>
      </c>
      <c r="K75" s="11">
        <f t="shared" si="10"/>
        <v>0</v>
      </c>
    </row>
    <row r="76" spans="2:11" x14ac:dyDescent="0.25">
      <c r="B76">
        <v>72</v>
      </c>
      <c r="C76" s="12">
        <v>0</v>
      </c>
      <c r="D76" s="10">
        <f t="shared" si="8"/>
        <v>1</v>
      </c>
      <c r="E76" s="10">
        <f t="shared" si="11"/>
        <v>0</v>
      </c>
      <c r="F76" s="10">
        <f t="shared" si="6"/>
        <v>5.937444600955457E-2</v>
      </c>
      <c r="G76" s="10">
        <f t="shared" si="9"/>
        <v>0</v>
      </c>
      <c r="I76" s="13">
        <f t="shared" si="7"/>
        <v>0</v>
      </c>
      <c r="J76" s="11">
        <f>(SUM(G77:$G$79)*$I$1)</f>
        <v>0</v>
      </c>
      <c r="K76" s="11">
        <f t="shared" si="10"/>
        <v>0</v>
      </c>
    </row>
    <row r="77" spans="2:11" x14ac:dyDescent="0.25">
      <c r="B77">
        <v>73</v>
      </c>
      <c r="C77" s="12">
        <v>0</v>
      </c>
      <c r="D77" s="10">
        <f t="shared" si="8"/>
        <v>1</v>
      </c>
      <c r="E77" s="10">
        <f t="shared" si="11"/>
        <v>0</v>
      </c>
      <c r="F77" s="10">
        <f t="shared" si="6"/>
        <v>5.7090813470725546E-2</v>
      </c>
      <c r="G77" s="10">
        <f t="shared" si="9"/>
        <v>0</v>
      </c>
      <c r="I77" s="13">
        <f t="shared" si="7"/>
        <v>0</v>
      </c>
      <c r="J77" s="11">
        <f>(SUM(G78:$G$79)*$I$1)</f>
        <v>0</v>
      </c>
      <c r="K77" s="11">
        <f t="shared" si="10"/>
        <v>0</v>
      </c>
    </row>
    <row r="78" spans="2:11" x14ac:dyDescent="0.25">
      <c r="B78">
        <v>74</v>
      </c>
      <c r="C78" s="12">
        <v>0</v>
      </c>
      <c r="D78" s="10">
        <f t="shared" si="8"/>
        <v>1</v>
      </c>
      <c r="E78" s="10">
        <f t="shared" si="11"/>
        <v>0</v>
      </c>
      <c r="F78" s="10">
        <f t="shared" si="6"/>
        <v>5.4895012952620711E-2</v>
      </c>
      <c r="G78" s="10">
        <f t="shared" si="9"/>
        <v>0</v>
      </c>
      <c r="I78" s="13">
        <f t="shared" si="7"/>
        <v>0</v>
      </c>
      <c r="J78" s="11">
        <f>(SUM(G79:$G$79)*$I$1)</f>
        <v>0</v>
      </c>
      <c r="K78" s="11">
        <f t="shared" si="10"/>
        <v>0</v>
      </c>
    </row>
    <row r="79" spans="2:11" x14ac:dyDescent="0.25">
      <c r="B79">
        <v>75</v>
      </c>
      <c r="C79" s="12">
        <v>0</v>
      </c>
      <c r="D79" s="10">
        <f t="shared" si="8"/>
        <v>1</v>
      </c>
      <c r="E79" s="10">
        <f t="shared" si="11"/>
        <v>0</v>
      </c>
      <c r="F79" s="10">
        <f t="shared" si="6"/>
        <v>5.2783666300596846E-2</v>
      </c>
      <c r="G79" s="10">
        <f t="shared" si="9"/>
        <v>0</v>
      </c>
      <c r="I79" s="13">
        <f t="shared" si="7"/>
        <v>0</v>
      </c>
      <c r="J79" s="11">
        <f>(SUM(G$79:$G80)*$I$1)</f>
        <v>0</v>
      </c>
      <c r="K79" s="11">
        <f t="shared" si="10"/>
        <v>0</v>
      </c>
    </row>
    <row r="80" spans="2:11" x14ac:dyDescent="0.25">
      <c r="C80" s="25"/>
    </row>
    <row r="81" spans="3:5" x14ac:dyDescent="0.25">
      <c r="C81" s="25"/>
    </row>
    <row r="82" spans="3:5" x14ac:dyDescent="0.25">
      <c r="D82" s="35"/>
      <c r="E82" s="35"/>
    </row>
    <row r="83" spans="3:5" x14ac:dyDescent="0.25">
      <c r="D83" s="35"/>
      <c r="E83" s="35"/>
    </row>
    <row r="84" spans="3:5" x14ac:dyDescent="0.25">
      <c r="D84" s="35"/>
      <c r="E84" s="35"/>
    </row>
    <row r="85" spans="3:5" x14ac:dyDescent="0.25">
      <c r="D85" s="35"/>
      <c r="E85" s="35"/>
    </row>
    <row r="86" spans="3:5" x14ac:dyDescent="0.25">
      <c r="D86" s="35"/>
      <c r="E86" s="35"/>
    </row>
    <row r="87" spans="3:5" x14ac:dyDescent="0.25">
      <c r="D87" s="35"/>
      <c r="E87" s="35"/>
    </row>
    <row r="88" spans="3:5" x14ac:dyDescent="0.25">
      <c r="D88" s="35"/>
      <c r="E88" s="35"/>
    </row>
    <row r="90" spans="3:5" x14ac:dyDescent="0.25">
      <c r="C90" s="25"/>
    </row>
    <row r="91" spans="3:5" x14ac:dyDescent="0.25">
      <c r="C91" s="25"/>
    </row>
    <row r="92" spans="3:5" x14ac:dyDescent="0.25">
      <c r="C92" s="25"/>
    </row>
    <row r="93" spans="3:5" x14ac:dyDescent="0.25">
      <c r="C93" s="25"/>
    </row>
    <row r="94" spans="3:5" x14ac:dyDescent="0.25">
      <c r="C94" s="25"/>
    </row>
    <row r="95" spans="3:5" x14ac:dyDescent="0.25">
      <c r="C95" s="25"/>
    </row>
    <row r="96" spans="3:5" x14ac:dyDescent="0.25">
      <c r="C96" s="25"/>
    </row>
    <row r="97" spans="3:3" x14ac:dyDescent="0.25">
      <c r="C97" s="25"/>
    </row>
    <row r="98" spans="3:3" x14ac:dyDescent="0.25">
      <c r="C98" s="25"/>
    </row>
    <row r="99" spans="3:3" x14ac:dyDescent="0.25">
      <c r="C99" s="25"/>
    </row>
    <row r="100" spans="3:3" x14ac:dyDescent="0.25">
      <c r="C100" s="25"/>
    </row>
    <row r="101" spans="3:3" x14ac:dyDescent="0.25">
      <c r="C101" s="25"/>
    </row>
    <row r="102" spans="3:3" x14ac:dyDescent="0.25">
      <c r="C102" s="25"/>
    </row>
    <row r="103" spans="3:3" x14ac:dyDescent="0.25">
      <c r="C103" s="25"/>
    </row>
    <row r="104" spans="3:3" x14ac:dyDescent="0.25">
      <c r="C104" s="25"/>
    </row>
    <row r="105" spans="3:3" x14ac:dyDescent="0.25">
      <c r="C105" s="25"/>
    </row>
    <row r="106" spans="3:3" x14ac:dyDescent="0.25">
      <c r="C106" s="25"/>
    </row>
    <row r="107" spans="3:3" x14ac:dyDescent="0.25">
      <c r="C107" s="25"/>
    </row>
    <row r="108" spans="3:3" x14ac:dyDescent="0.25">
      <c r="C108" s="25"/>
    </row>
    <row r="109" spans="3:3" x14ac:dyDescent="0.25">
      <c r="C109" s="25"/>
    </row>
    <row r="110" spans="3:3" x14ac:dyDescent="0.25">
      <c r="C110" s="25"/>
    </row>
    <row r="111" spans="3:3" x14ac:dyDescent="0.25">
      <c r="C111" s="25"/>
    </row>
    <row r="112" spans="3:3" x14ac:dyDescent="0.25">
      <c r="C112" s="25"/>
    </row>
    <row r="113" spans="3:3" x14ac:dyDescent="0.25">
      <c r="C113" s="25"/>
    </row>
    <row r="114" spans="3:3" x14ac:dyDescent="0.25">
      <c r="C114" s="25"/>
    </row>
    <row r="115" spans="3:3" x14ac:dyDescent="0.25">
      <c r="C115" s="25"/>
    </row>
    <row r="116" spans="3:3" x14ac:dyDescent="0.25">
      <c r="C116" s="25"/>
    </row>
    <row r="117" spans="3:3" x14ac:dyDescent="0.25">
      <c r="C117" s="25"/>
    </row>
    <row r="118" spans="3:3" x14ac:dyDescent="0.25">
      <c r="C118" s="25"/>
    </row>
    <row r="119" spans="3:3" x14ac:dyDescent="0.25">
      <c r="C119" s="25"/>
    </row>
    <row r="120" spans="3:3" x14ac:dyDescent="0.25">
      <c r="C120" s="25"/>
    </row>
    <row r="121" spans="3:3" x14ac:dyDescent="0.25">
      <c r="C121" s="25"/>
    </row>
    <row r="122" spans="3:3" x14ac:dyDescent="0.25">
      <c r="C122" s="25"/>
    </row>
    <row r="123" spans="3:3" x14ac:dyDescent="0.25">
      <c r="C123" s="25"/>
    </row>
    <row r="124" spans="3:3" x14ac:dyDescent="0.25">
      <c r="C124" s="25"/>
    </row>
    <row r="125" spans="3:3" x14ac:dyDescent="0.25">
      <c r="C125" s="25"/>
    </row>
    <row r="126" spans="3:3" x14ac:dyDescent="0.25">
      <c r="C126" s="25"/>
    </row>
    <row r="127" spans="3:3" x14ac:dyDescent="0.25">
      <c r="C127" s="25"/>
    </row>
    <row r="128" spans="3:3" x14ac:dyDescent="0.25">
      <c r="C128" s="25"/>
    </row>
    <row r="129" spans="3:3" x14ac:dyDescent="0.25">
      <c r="C129" s="25"/>
    </row>
    <row r="130" spans="3:3" x14ac:dyDescent="0.25">
      <c r="C130" s="25"/>
    </row>
    <row r="131" spans="3:3" x14ac:dyDescent="0.25">
      <c r="C131" s="25"/>
    </row>
    <row r="132" spans="3:3" x14ac:dyDescent="0.25">
      <c r="C132" s="25"/>
    </row>
    <row r="133" spans="3:3" x14ac:dyDescent="0.25">
      <c r="C133" s="25"/>
    </row>
    <row r="134" spans="3:3" x14ac:dyDescent="0.25">
      <c r="C134" s="25"/>
    </row>
    <row r="135" spans="3:3" x14ac:dyDescent="0.25">
      <c r="C135" s="25"/>
    </row>
    <row r="136" spans="3:3" x14ac:dyDescent="0.25">
      <c r="C136" s="25"/>
    </row>
    <row r="137" spans="3:3" x14ac:dyDescent="0.25">
      <c r="C137" s="25"/>
    </row>
    <row r="138" spans="3:3" x14ac:dyDescent="0.25">
      <c r="C138" s="25"/>
    </row>
    <row r="139" spans="3:3" x14ac:dyDescent="0.25">
      <c r="C139" s="25"/>
    </row>
    <row r="140" spans="3:3" x14ac:dyDescent="0.25">
      <c r="C140" s="25"/>
    </row>
    <row r="141" spans="3:3" x14ac:dyDescent="0.25">
      <c r="C141" s="25"/>
    </row>
    <row r="142" spans="3:3" x14ac:dyDescent="0.25">
      <c r="C142" s="25"/>
    </row>
    <row r="143" spans="3:3" x14ac:dyDescent="0.25">
      <c r="C143" s="25"/>
    </row>
    <row r="144" spans="3:3"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hyperlinks>
    <hyperlink ref="J1" location="'Read Me'!A1" display="Return to 'Read Me'"/>
    <hyperlink ref="J2" location="Summary!A1" display="Return to 'Summary'"/>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4"/>
  <sheetViews>
    <sheetView topLeftCell="B55" workbookViewId="0">
      <selection activeCell="D123" sqref="D123:F131"/>
    </sheetView>
  </sheetViews>
  <sheetFormatPr defaultRowHeight="15" x14ac:dyDescent="0.25"/>
  <cols>
    <col min="1" max="1" width="4.375" bestFit="1" customWidth="1"/>
    <col min="3" max="5" width="10" bestFit="1" customWidth="1"/>
    <col min="6" max="10" width="10" customWidth="1"/>
    <col min="11" max="12" width="10" bestFit="1" customWidth="1"/>
    <col min="13" max="13" width="3.75" customWidth="1"/>
    <col min="14" max="15" width="13.25" customWidth="1"/>
    <col min="17" max="17" width="12" customWidth="1"/>
    <col min="18" max="18" width="11.625" bestFit="1" customWidth="1"/>
    <col min="19" max="19" width="11.625" customWidth="1"/>
    <col min="20" max="20" width="7.125" bestFit="1" customWidth="1"/>
    <col min="21" max="21" width="4.75" customWidth="1"/>
    <col min="23" max="23" width="9.625" bestFit="1" customWidth="1"/>
  </cols>
  <sheetData>
    <row r="1" spans="1:23" x14ac:dyDescent="0.25">
      <c r="B1" t="s">
        <v>60</v>
      </c>
      <c r="N1" s="3">
        <v>5000</v>
      </c>
      <c r="O1" s="181" t="s">
        <v>173</v>
      </c>
      <c r="Q1" s="1"/>
      <c r="R1" s="4"/>
      <c r="S1" s="4"/>
      <c r="T1" s="4"/>
      <c r="U1" s="4"/>
      <c r="V1" s="64"/>
      <c r="W1" s="28"/>
    </row>
    <row r="2" spans="1:23" ht="15.75" customHeight="1" thickBot="1" x14ac:dyDescent="0.3">
      <c r="B2" t="s">
        <v>227</v>
      </c>
      <c r="C2">
        <v>0</v>
      </c>
      <c r="D2" s="29" t="s">
        <v>52</v>
      </c>
      <c r="F2" s="29" t="s">
        <v>53</v>
      </c>
      <c r="H2" s="29"/>
      <c r="J2" s="14" t="s">
        <v>59</v>
      </c>
      <c r="K2" s="5">
        <f>Inputs!B6</f>
        <v>0.04</v>
      </c>
      <c r="O2" s="166" t="s">
        <v>174</v>
      </c>
      <c r="Q2" s="6"/>
      <c r="R2" s="4"/>
      <c r="S2" s="4"/>
      <c r="T2" s="4"/>
      <c r="U2" s="4"/>
      <c r="V2" s="172" t="s">
        <v>160</v>
      </c>
      <c r="W2" s="28"/>
    </row>
    <row r="3" spans="1:23" ht="45" x14ac:dyDescent="0.25">
      <c r="A3" s="7" t="s">
        <v>19</v>
      </c>
      <c r="B3" s="7" t="s">
        <v>7</v>
      </c>
      <c r="C3" s="8" t="s">
        <v>20</v>
      </c>
      <c r="D3" s="55" t="s">
        <v>21</v>
      </c>
      <c r="E3" s="55" t="s">
        <v>22</v>
      </c>
      <c r="F3" s="56" t="s">
        <v>54</v>
      </c>
      <c r="G3" s="56" t="s">
        <v>55</v>
      </c>
      <c r="H3" s="57" t="s">
        <v>56</v>
      </c>
      <c r="I3" s="57" t="s">
        <v>57</v>
      </c>
      <c r="J3" s="58" t="s">
        <v>58</v>
      </c>
      <c r="K3" s="7" t="s">
        <v>11</v>
      </c>
      <c r="L3" s="58" t="s">
        <v>12</v>
      </c>
      <c r="N3" s="7" t="s">
        <v>13</v>
      </c>
      <c r="O3" s="7" t="s">
        <v>14</v>
      </c>
      <c r="Q3" s="7" t="s">
        <v>15</v>
      </c>
      <c r="R3" s="59">
        <f>+SUMPRODUCT(B5:B70,N5:N70,K5:K70)/SUMPRODUCT(K5:K70,N5:N70)</f>
        <v>14.573453836640025</v>
      </c>
      <c r="S3" s="10"/>
      <c r="T3" s="10"/>
      <c r="U3" s="10"/>
      <c r="V3" s="31"/>
      <c r="W3" s="32"/>
    </row>
    <row r="4" spans="1:23" x14ac:dyDescent="0.25">
      <c r="A4">
        <v>54</v>
      </c>
      <c r="B4">
        <v>0</v>
      </c>
      <c r="C4" s="8"/>
      <c r="D4" s="55"/>
      <c r="E4" s="55"/>
      <c r="F4" s="56"/>
      <c r="G4" s="56"/>
      <c r="H4" s="57"/>
      <c r="I4" s="57"/>
      <c r="J4" s="58"/>
      <c r="K4" s="7"/>
      <c r="L4" s="60">
        <v>1</v>
      </c>
      <c r="O4" s="11">
        <f>(SUM(L5:$L$79)*$N$1)</f>
        <v>93593.229349955727</v>
      </c>
      <c r="Q4" s="14"/>
      <c r="R4" s="14"/>
      <c r="S4" s="14"/>
      <c r="T4" s="14"/>
      <c r="V4" s="65">
        <v>0</v>
      </c>
      <c r="W4" s="66">
        <f>Inputs!H7</f>
        <v>1.6050000000000001E-3</v>
      </c>
    </row>
    <row r="5" spans="1:23" ht="15.75" thickBot="1" x14ac:dyDescent="0.3">
      <c r="A5">
        <f>B5+$A$4</f>
        <v>55</v>
      </c>
      <c r="B5">
        <v>1</v>
      </c>
      <c r="C5" s="12">
        <f>VLOOKUP(A5,$V$4:$W$124,2,FALSE)</f>
        <v>3.2539999999999999E-3</v>
      </c>
      <c r="D5" s="61">
        <f>1-C5</f>
        <v>0.99674600000000002</v>
      </c>
      <c r="E5" s="198">
        <f>IF(B5&lt;=$C$2,1,IF(B5=$C$2+1,PRODUCT($D$5:D5),E4*D5))</f>
        <v>0.99674600000000002</v>
      </c>
      <c r="F5" s="62">
        <f>1-C5</f>
        <v>0.99674600000000002</v>
      </c>
      <c r="G5" s="198">
        <f>IF(B5&lt;=$C$2,1,IF(B5=$C$2+1,PRODUCT($F$5:F5),G4*F5))</f>
        <v>0.99674600000000002</v>
      </c>
      <c r="H5" s="63">
        <f>+D5*F5</f>
        <v>0.99350258851600004</v>
      </c>
      <c r="I5" s="63">
        <f>+E5*G5</f>
        <v>0.99350258851600004</v>
      </c>
      <c r="J5" s="60">
        <f>+E5+G5-I5</f>
        <v>0.999989411484</v>
      </c>
      <c r="K5" s="10">
        <f t="shared" ref="K5:K68" si="0">IF(D5=0,0,(1+$K$2)^-B5)</f>
        <v>0.96153846153846145</v>
      </c>
      <c r="L5" s="60">
        <f>K5*J5</f>
        <v>0.9615282802730768</v>
      </c>
      <c r="N5" s="13">
        <f>J5*$N$1</f>
        <v>4999.9470574200004</v>
      </c>
      <c r="O5" s="11">
        <f>(SUM(L6:$L$79)*$N$1)</f>
        <v>88785.587948590372</v>
      </c>
      <c r="P5" s="11">
        <f>O5-O4</f>
        <v>-4807.6414013653557</v>
      </c>
      <c r="Q5" s="14" t="s">
        <v>16</v>
      </c>
      <c r="R5" s="14" t="s">
        <v>17</v>
      </c>
      <c r="S5" s="14" t="s">
        <v>18</v>
      </c>
      <c r="T5" s="14" t="s">
        <v>47</v>
      </c>
      <c r="V5" s="65">
        <v>1</v>
      </c>
      <c r="W5" s="66">
        <f>Inputs!H8</f>
        <v>4.0099999999999999E-4</v>
      </c>
    </row>
    <row r="6" spans="1:23" x14ac:dyDescent="0.25">
      <c r="A6">
        <f t="shared" ref="A6:A69" si="1">B6+$A$4</f>
        <v>56</v>
      </c>
      <c r="B6">
        <v>2</v>
      </c>
      <c r="C6" s="12">
        <f t="shared" ref="C6:C69" si="2">VLOOKUP(A6,$V$4:$W$124,2,FALSE)</f>
        <v>3.529E-3</v>
      </c>
      <c r="D6" s="61">
        <f t="shared" ref="D6:D69" si="3">1-C6</f>
        <v>0.996471</v>
      </c>
      <c r="E6" s="198">
        <f>IF(B6&lt;=$C$2,1,IF(B6=$C$2+1,PRODUCT($D$5:D6),E5*D6))</f>
        <v>0.993228483366</v>
      </c>
      <c r="F6" s="62">
        <f t="shared" ref="F6:F69" si="4">1-C6</f>
        <v>0.996471</v>
      </c>
      <c r="G6" s="198">
        <f>IF(B6&lt;=$C$2,1,IF(B6=$C$2+1,PRODUCT($F$5:F6),G5*F6))</f>
        <v>0.993228483366</v>
      </c>
      <c r="H6" s="63">
        <f t="shared" ref="H6:I34" si="5">+D6*F6</f>
        <v>0.99295445384100001</v>
      </c>
      <c r="I6" s="63">
        <f t="shared" si="5"/>
        <v>0.98650282016952451</v>
      </c>
      <c r="J6" s="60">
        <f t="shared" ref="J6:J69" si="6">+E6+G6-I6</f>
        <v>0.9999541465624755</v>
      </c>
      <c r="K6" s="10">
        <f t="shared" si="0"/>
        <v>0.92455621301775137</v>
      </c>
      <c r="L6" s="60">
        <f t="shared" ref="L6:L69" si="7">K6*J6</f>
        <v>0.92451381893719986</v>
      </c>
      <c r="N6" s="13">
        <f t="shared" ref="N6:N69" si="8">J6*$N$1</f>
        <v>4999.7707328123779</v>
      </c>
      <c r="O6" s="11">
        <f>(SUM(L7:$L$79)*$N$1)</f>
        <v>84163.018853904388</v>
      </c>
      <c r="P6" s="11">
        <f t="shared" ref="P6:P69" si="9">O6-O5</f>
        <v>-4622.5690946859831</v>
      </c>
      <c r="Q6" s="14">
        <v>2</v>
      </c>
      <c r="R6" s="54" t="s">
        <v>44</v>
      </c>
      <c r="S6" s="15">
        <f>SUM(N5:N7)</f>
        <v>14999.156998883071</v>
      </c>
      <c r="T6" s="16">
        <f>S6/SUM($S$6:$S$9)</f>
        <v>8.2616847451454742E-2</v>
      </c>
      <c r="V6" s="65">
        <v>2</v>
      </c>
      <c r="W6" s="66">
        <f>Inputs!H9</f>
        <v>2.7500000000000002E-4</v>
      </c>
    </row>
    <row r="7" spans="1:23" x14ac:dyDescent="0.25">
      <c r="A7">
        <f t="shared" si="1"/>
        <v>57</v>
      </c>
      <c r="B7">
        <v>3</v>
      </c>
      <c r="C7" s="12">
        <f t="shared" si="2"/>
        <v>3.8449999999999999E-3</v>
      </c>
      <c r="D7" s="61">
        <f t="shared" si="3"/>
        <v>0.99615500000000001</v>
      </c>
      <c r="E7" s="198">
        <f>IF(B7&lt;=$C$2,1,IF(B7=$C$2+1,PRODUCT($D$5:D7),E6*D7))</f>
        <v>0.98940951984745773</v>
      </c>
      <c r="F7" s="62">
        <f t="shared" si="4"/>
        <v>0.99615500000000001</v>
      </c>
      <c r="G7" s="198">
        <f>IF(B7&lt;=$C$2,1,IF(B7=$C$2+1,PRODUCT($F$5:F7),G6*F7))</f>
        <v>0.98940951984745773</v>
      </c>
      <c r="H7" s="63">
        <f t="shared" si="5"/>
        <v>0.99232478402500002</v>
      </c>
      <c r="I7" s="63">
        <f t="shared" si="5"/>
        <v>0.9789311979647769</v>
      </c>
      <c r="J7" s="60">
        <f t="shared" si="6"/>
        <v>0.99988784173013856</v>
      </c>
      <c r="K7" s="10">
        <f t="shared" si="0"/>
        <v>0.88899635867091487</v>
      </c>
      <c r="L7" s="60">
        <f t="shared" si="7"/>
        <v>0.88889665037741317</v>
      </c>
      <c r="N7" s="13">
        <f t="shared" si="8"/>
        <v>4999.4392086506932</v>
      </c>
      <c r="O7" s="11">
        <f>(SUM(L8:$L$79)*$N$1)</f>
        <v>79718.53560201732</v>
      </c>
      <c r="P7" s="11">
        <f t="shared" si="9"/>
        <v>-4444.483251887068</v>
      </c>
      <c r="Q7" s="14">
        <v>5</v>
      </c>
      <c r="R7" s="19" t="s">
        <v>45</v>
      </c>
      <c r="S7" s="17">
        <f>SUM(N8:N11)</f>
        <v>19989.648029576525</v>
      </c>
      <c r="T7" s="18">
        <f t="shared" ref="T7:T9" si="10">S7/SUM($S$6:$S$9)</f>
        <v>0.1101049680319218</v>
      </c>
      <c r="V7" s="65">
        <v>3</v>
      </c>
      <c r="W7" s="66">
        <f>Inputs!H10</f>
        <v>2.2900000000000001E-4</v>
      </c>
    </row>
    <row r="8" spans="1:23" x14ac:dyDescent="0.25">
      <c r="A8">
        <f t="shared" si="1"/>
        <v>58</v>
      </c>
      <c r="B8">
        <v>4</v>
      </c>
      <c r="C8" s="12">
        <f t="shared" si="2"/>
        <v>4.2129999999999997E-3</v>
      </c>
      <c r="D8" s="61">
        <f t="shared" si="3"/>
        <v>0.99578699999999998</v>
      </c>
      <c r="E8" s="198">
        <f>IF(B8&lt;=$C$2,1,IF(B8=$C$2+1,PRODUCT($D$5:D8),E7*D8))</f>
        <v>0.98524113754034037</v>
      </c>
      <c r="F8" s="62">
        <f t="shared" si="4"/>
        <v>0.99578699999999998</v>
      </c>
      <c r="G8" s="198">
        <f>IF(B8&lt;=$C$2,1,IF(B8=$C$2+1,PRODUCT($F$5:F8),G7*F8))</f>
        <v>0.98524113754034037</v>
      </c>
      <c r="H8" s="63">
        <f t="shared" si="5"/>
        <v>0.99159174936899996</v>
      </c>
      <c r="I8" s="63">
        <f t="shared" si="5"/>
        <v>0.9707000991017839</v>
      </c>
      <c r="J8" s="60">
        <f t="shared" si="6"/>
        <v>0.99978217597889685</v>
      </c>
      <c r="K8" s="10">
        <f t="shared" si="0"/>
        <v>0.85480419102972571</v>
      </c>
      <c r="L8" s="60">
        <f t="shared" si="7"/>
        <v>0.85461799414357975</v>
      </c>
      <c r="N8" s="13">
        <f t="shared" si="8"/>
        <v>4998.9108798944844</v>
      </c>
      <c r="O8" s="11">
        <f>(SUM(L9:$L$79)*$N$1)</f>
        <v>75445.44563129943</v>
      </c>
      <c r="P8" s="11">
        <f t="shared" si="9"/>
        <v>-4273.0899707178905</v>
      </c>
      <c r="Q8" s="14">
        <v>10</v>
      </c>
      <c r="R8" s="19" t="s">
        <v>46</v>
      </c>
      <c r="S8" s="17">
        <f>SUM(N12:N19)</f>
        <v>39831.165304296839</v>
      </c>
      <c r="T8" s="18">
        <f t="shared" si="10"/>
        <v>0.21939401714401791</v>
      </c>
      <c r="V8" s="65">
        <v>4</v>
      </c>
      <c r="W8" s="66">
        <f>Inputs!H11</f>
        <v>1.74E-4</v>
      </c>
    </row>
    <row r="9" spans="1:23" ht="15.75" thickBot="1" x14ac:dyDescent="0.3">
      <c r="A9">
        <f t="shared" si="1"/>
        <v>59</v>
      </c>
      <c r="B9">
        <v>5</v>
      </c>
      <c r="C9" s="12">
        <f t="shared" si="2"/>
        <v>4.6309999999999997E-3</v>
      </c>
      <c r="D9" s="61">
        <f t="shared" si="3"/>
        <v>0.99536899999999995</v>
      </c>
      <c r="E9" s="198">
        <f>IF(B9&lt;=$C$2,1,IF(B9=$C$2+1,PRODUCT($D$5:D9),E8*D9))</f>
        <v>0.98067848583239103</v>
      </c>
      <c r="F9" s="62">
        <f t="shared" si="4"/>
        <v>0.99536899999999995</v>
      </c>
      <c r="G9" s="198">
        <f>IF(B9&lt;=$C$2,1,IF(B9=$C$2+1,PRODUCT($F$5:F9),G8*F9))</f>
        <v>0.98067848583239103</v>
      </c>
      <c r="H9" s="63">
        <f t="shared" si="5"/>
        <v>0.99075944616099987</v>
      </c>
      <c r="I9" s="63">
        <f t="shared" si="5"/>
        <v>0.96173029257451115</v>
      </c>
      <c r="J9" s="60">
        <f t="shared" si="6"/>
        <v>0.99962667909027092</v>
      </c>
      <c r="K9" s="10">
        <f t="shared" si="0"/>
        <v>0.82192710675935154</v>
      </c>
      <c r="L9" s="60">
        <f t="shared" si="7"/>
        <v>0.82162026418412515</v>
      </c>
      <c r="N9" s="13">
        <f t="shared" si="8"/>
        <v>4998.1333954513548</v>
      </c>
      <c r="O9" s="11">
        <f>(SUM(L10:$L$79)*$N$1)</f>
        <v>71337.344310378801</v>
      </c>
      <c r="P9" s="11">
        <f t="shared" si="9"/>
        <v>-4108.1013209206285</v>
      </c>
      <c r="Q9" s="14">
        <v>30</v>
      </c>
      <c r="R9" s="20" t="s">
        <v>48</v>
      </c>
      <c r="S9" s="21">
        <f>SUM(N20:N70)</f>
        <v>106730.85690858199</v>
      </c>
      <c r="T9" s="22">
        <f t="shared" si="10"/>
        <v>0.58788416737260552</v>
      </c>
      <c r="V9" s="65">
        <v>5</v>
      </c>
      <c r="W9" s="66">
        <f>Inputs!H12</f>
        <v>1.6799999999999999E-4</v>
      </c>
    </row>
    <row r="10" spans="1:23" x14ac:dyDescent="0.25">
      <c r="A10">
        <f t="shared" si="1"/>
        <v>60</v>
      </c>
      <c r="B10">
        <v>6</v>
      </c>
      <c r="C10" s="12">
        <f t="shared" si="2"/>
        <v>5.0959999999999998E-3</v>
      </c>
      <c r="D10" s="61">
        <f t="shared" si="3"/>
        <v>0.99490400000000001</v>
      </c>
      <c r="E10" s="198">
        <f>IF(B10&lt;=$C$2,1,IF(B10=$C$2+1,PRODUCT($D$5:D10),E9*D10))</f>
        <v>0.9756809482685892</v>
      </c>
      <c r="F10" s="62">
        <f t="shared" si="4"/>
        <v>0.99490400000000001</v>
      </c>
      <c r="G10" s="198">
        <f>IF(B10&lt;=$C$2,1,IF(B10=$C$2+1,PRODUCT($F$5:F10),G9*F10))</f>
        <v>0.9756809482685892</v>
      </c>
      <c r="H10" s="63">
        <f t="shared" si="5"/>
        <v>0.98983396921599998</v>
      </c>
      <c r="I10" s="63">
        <f t="shared" si="5"/>
        <v>0.95195331281429341</v>
      </c>
      <c r="J10" s="60">
        <f t="shared" si="6"/>
        <v>0.99940858372288499</v>
      </c>
      <c r="K10" s="10">
        <f t="shared" si="0"/>
        <v>0.79031452573014571</v>
      </c>
      <c r="L10" s="60">
        <f t="shared" si="7"/>
        <v>0.7898471208555885</v>
      </c>
      <c r="N10" s="13">
        <f t="shared" si="8"/>
        <v>4997.0429186144247</v>
      </c>
      <c r="O10" s="11">
        <f>(SUM(L11:$L$79)*$N$1)</f>
        <v>67388.108706100858</v>
      </c>
      <c r="P10" s="11">
        <f t="shared" si="9"/>
        <v>-3949.2356042779429</v>
      </c>
      <c r="Q10" s="53">
        <f>+SUMPRODUCT(Q6:Q9,T6:T9)</f>
        <v>20.546223727680864</v>
      </c>
      <c r="T10" s="23">
        <f>SUM(T6:T9)</f>
        <v>1</v>
      </c>
      <c r="V10" s="65">
        <v>6</v>
      </c>
      <c r="W10" s="66">
        <f>Inputs!H13</f>
        <v>1.65E-4</v>
      </c>
    </row>
    <row r="11" spans="1:23" x14ac:dyDescent="0.25">
      <c r="A11">
        <f t="shared" si="1"/>
        <v>61</v>
      </c>
      <c r="B11">
        <v>7</v>
      </c>
      <c r="C11" s="12">
        <f t="shared" si="2"/>
        <v>5.6140000000000001E-3</v>
      </c>
      <c r="D11" s="61">
        <f t="shared" si="3"/>
        <v>0.99438599999999999</v>
      </c>
      <c r="E11" s="198">
        <f>IF(B11&lt;=$C$2,1,IF(B11=$C$2+1,PRODUCT($D$5:D11),E10*D11))</f>
        <v>0.97020347542500929</v>
      </c>
      <c r="F11" s="62">
        <f t="shared" si="4"/>
        <v>0.99438599999999999</v>
      </c>
      <c r="G11" s="198">
        <f>IF(B11&lt;=$C$2,1,IF(B11=$C$2+1,PRODUCT($F$5:F11),G10*F11))</f>
        <v>0.97020347542500929</v>
      </c>
      <c r="H11" s="63">
        <f t="shared" si="5"/>
        <v>0.988803516996</v>
      </c>
      <c r="I11" s="63">
        <f t="shared" si="5"/>
        <v>0.94129478372676656</v>
      </c>
      <c r="J11" s="60">
        <f t="shared" si="6"/>
        <v>0.99911216712325202</v>
      </c>
      <c r="K11" s="10">
        <f t="shared" si="0"/>
        <v>0.75991781320206331</v>
      </c>
      <c r="L11" s="60">
        <f t="shared" si="7"/>
        <v>0.75924313318387604</v>
      </c>
      <c r="N11" s="13">
        <f t="shared" si="8"/>
        <v>4995.5608356162602</v>
      </c>
      <c r="O11" s="11">
        <f>(SUM(L12:$L$79)*$N$1)</f>
        <v>63591.893040181472</v>
      </c>
      <c r="P11" s="11">
        <f t="shared" si="9"/>
        <v>-3796.2156659193861</v>
      </c>
      <c r="V11" s="65">
        <v>7</v>
      </c>
      <c r="W11" s="66">
        <f>Inputs!H14</f>
        <v>1.5899999999999999E-4</v>
      </c>
    </row>
    <row r="12" spans="1:23" x14ac:dyDescent="0.25">
      <c r="A12">
        <f t="shared" si="1"/>
        <v>62</v>
      </c>
      <c r="B12">
        <v>8</v>
      </c>
      <c r="C12" s="12">
        <f t="shared" si="2"/>
        <v>6.169E-3</v>
      </c>
      <c r="D12" s="61">
        <f t="shared" si="3"/>
        <v>0.99383100000000002</v>
      </c>
      <c r="E12" s="198">
        <f>IF(B12&lt;=$C$2,1,IF(B12=$C$2+1,PRODUCT($D$5:D12),E11*D12))</f>
        <v>0.9642182901851124</v>
      </c>
      <c r="F12" s="62">
        <f t="shared" si="4"/>
        <v>0.99383100000000002</v>
      </c>
      <c r="G12" s="198">
        <f>IF(B12&lt;=$C$2,1,IF(B12=$C$2+1,PRODUCT($F$5:F12),G11*F12))</f>
        <v>0.9642182901851124</v>
      </c>
      <c r="H12" s="63">
        <f t="shared" si="5"/>
        <v>0.98770005656100002</v>
      </c>
      <c r="I12" s="63">
        <f t="shared" si="5"/>
        <v>0.92971691112750166</v>
      </c>
      <c r="J12" s="60">
        <f t="shared" si="6"/>
        <v>0.99871966924272315</v>
      </c>
      <c r="K12" s="10">
        <f t="shared" si="0"/>
        <v>0.73069020500198378</v>
      </c>
      <c r="L12" s="60">
        <f t="shared" si="7"/>
        <v>0.72975467985847886</v>
      </c>
      <c r="N12" s="13">
        <f t="shared" si="8"/>
        <v>4993.5983462136155</v>
      </c>
      <c r="O12" s="11">
        <f>(SUM(L13:$L$79)*$N$1)</f>
        <v>59943.119640889083</v>
      </c>
      <c r="P12" s="11">
        <f t="shared" si="9"/>
        <v>-3648.7733992923895</v>
      </c>
      <c r="V12" s="65">
        <v>8</v>
      </c>
      <c r="W12" s="66">
        <f>Inputs!H15</f>
        <v>1.4300000000000001E-4</v>
      </c>
    </row>
    <row r="13" spans="1:23" x14ac:dyDescent="0.25">
      <c r="A13">
        <f t="shared" si="1"/>
        <v>63</v>
      </c>
      <c r="B13">
        <v>9</v>
      </c>
      <c r="C13" s="12">
        <f t="shared" si="2"/>
        <v>6.7590000000000003E-3</v>
      </c>
      <c r="D13" s="61">
        <f t="shared" si="3"/>
        <v>0.99324100000000004</v>
      </c>
      <c r="E13" s="198">
        <f>IF(B13&lt;=$C$2,1,IF(B13=$C$2+1,PRODUCT($D$5:D13),E12*D13))</f>
        <v>0.95770113876175123</v>
      </c>
      <c r="F13" s="62">
        <f t="shared" si="4"/>
        <v>0.99324100000000004</v>
      </c>
      <c r="G13" s="198">
        <f>IF(B13&lt;=$C$2,1,IF(B13=$C$2+1,PRODUCT($F$5:F13),G12*F13))</f>
        <v>0.95770113876175123</v>
      </c>
      <c r="H13" s="63">
        <f t="shared" si="5"/>
        <v>0.98652768408100011</v>
      </c>
      <c r="I13" s="63">
        <f t="shared" si="5"/>
        <v>0.91719147118555511</v>
      </c>
      <c r="J13" s="60">
        <f t="shared" si="6"/>
        <v>0.99821080633794734</v>
      </c>
      <c r="K13" s="10">
        <f t="shared" si="0"/>
        <v>0.70258673557883045</v>
      </c>
      <c r="L13" s="60">
        <f t="shared" si="7"/>
        <v>0.70132967184449058</v>
      </c>
      <c r="N13" s="13">
        <f t="shared" si="8"/>
        <v>4991.0540316897368</v>
      </c>
      <c r="O13" s="11">
        <f>(SUM(L14:$L$79)*$N$1)</f>
        <v>56436.471281666622</v>
      </c>
      <c r="P13" s="11">
        <f t="shared" si="9"/>
        <v>-3506.6483592224613</v>
      </c>
      <c r="V13" s="65">
        <v>9</v>
      </c>
      <c r="W13" s="66">
        <f>Inputs!H16</f>
        <v>1.2899999999999999E-4</v>
      </c>
    </row>
    <row r="14" spans="1:23" x14ac:dyDescent="0.25">
      <c r="A14">
        <f t="shared" si="1"/>
        <v>64</v>
      </c>
      <c r="B14">
        <v>10</v>
      </c>
      <c r="C14" s="12">
        <f t="shared" si="2"/>
        <v>7.3980000000000001E-3</v>
      </c>
      <c r="D14" s="61">
        <f t="shared" si="3"/>
        <v>0.99260199999999998</v>
      </c>
      <c r="E14" s="198">
        <f>IF(B14&lt;=$C$2,1,IF(B14=$C$2+1,PRODUCT($D$5:D14),E13*D14))</f>
        <v>0.95061606573719182</v>
      </c>
      <c r="F14" s="62">
        <f t="shared" si="4"/>
        <v>0.99260199999999998</v>
      </c>
      <c r="G14" s="198">
        <f>IF(B14&lt;=$C$2,1,IF(B14=$C$2+1,PRODUCT($F$5:F14),G13*F14))</f>
        <v>0.95061606573719182</v>
      </c>
      <c r="H14" s="63">
        <f t="shared" si="5"/>
        <v>0.98525873040399992</v>
      </c>
      <c r="I14" s="63">
        <f t="shared" si="5"/>
        <v>0.90367090443765696</v>
      </c>
      <c r="J14" s="60">
        <f t="shared" si="6"/>
        <v>0.99756122703672667</v>
      </c>
      <c r="K14" s="10">
        <f t="shared" si="0"/>
        <v>0.67556416882579851</v>
      </c>
      <c r="L14" s="60">
        <f t="shared" si="7"/>
        <v>0.67391662119590989</v>
      </c>
      <c r="N14" s="13">
        <f t="shared" si="8"/>
        <v>4987.8061351836332</v>
      </c>
      <c r="O14" s="11">
        <f>(SUM(L15:$L$79)*$N$1)</f>
        <v>53066.888175687076</v>
      </c>
      <c r="P14" s="11">
        <f t="shared" si="9"/>
        <v>-3369.5831059795455</v>
      </c>
      <c r="V14" s="65">
        <v>10</v>
      </c>
      <c r="W14" s="66">
        <f>Inputs!H17</f>
        <v>1.13E-4</v>
      </c>
    </row>
    <row r="15" spans="1:23" x14ac:dyDescent="0.25">
      <c r="A15">
        <f t="shared" si="1"/>
        <v>65</v>
      </c>
      <c r="B15">
        <v>11</v>
      </c>
      <c r="C15" s="12">
        <f t="shared" si="2"/>
        <v>8.1060000000000004E-3</v>
      </c>
      <c r="D15" s="61">
        <f t="shared" si="3"/>
        <v>0.99189400000000005</v>
      </c>
      <c r="E15" s="198">
        <f>IF(B15&lt;=$C$2,1,IF(B15=$C$2+1,PRODUCT($D$5:D15),E14*D15))</f>
        <v>0.94291037190832616</v>
      </c>
      <c r="F15" s="62">
        <f t="shared" si="4"/>
        <v>0.99189400000000005</v>
      </c>
      <c r="G15" s="198">
        <f>IF(B15&lt;=$C$2,1,IF(B15=$C$2+1,PRODUCT($F$5:F15),G14*F15))</f>
        <v>0.94291037190832616</v>
      </c>
      <c r="H15" s="63">
        <f t="shared" si="5"/>
        <v>0.98385370723600007</v>
      </c>
      <c r="I15" s="63">
        <f t="shared" si="5"/>
        <v>0.88907996945229795</v>
      </c>
      <c r="J15" s="60">
        <f t="shared" si="6"/>
        <v>0.99674077436435438</v>
      </c>
      <c r="K15" s="10">
        <f t="shared" si="0"/>
        <v>0.6495809315632679</v>
      </c>
      <c r="L15" s="60">
        <f t="shared" si="7"/>
        <v>0.64746380073869036</v>
      </c>
      <c r="N15" s="13">
        <f t="shared" si="8"/>
        <v>4983.7038718217718</v>
      </c>
      <c r="O15" s="11">
        <f>(SUM(L16:$L$79)*$N$1)</f>
        <v>49829.569171993622</v>
      </c>
      <c r="P15" s="11">
        <f t="shared" si="9"/>
        <v>-3237.3190036934539</v>
      </c>
      <c r="V15" s="65">
        <v>11</v>
      </c>
      <c r="W15" s="66">
        <f>Inputs!H18</f>
        <v>1.11E-4</v>
      </c>
    </row>
    <row r="16" spans="1:23" x14ac:dyDescent="0.25">
      <c r="A16">
        <f t="shared" si="1"/>
        <v>66</v>
      </c>
      <c r="B16">
        <v>12</v>
      </c>
      <c r="C16" s="12">
        <f t="shared" si="2"/>
        <v>8.548E-3</v>
      </c>
      <c r="D16" s="61">
        <f t="shared" si="3"/>
        <v>0.991452</v>
      </c>
      <c r="E16" s="198">
        <f>IF(B16&lt;=$C$2,1,IF(B16=$C$2+1,PRODUCT($D$5:D16),E15*D16))</f>
        <v>0.93485037404925375</v>
      </c>
      <c r="F16" s="62">
        <f t="shared" si="4"/>
        <v>0.991452</v>
      </c>
      <c r="G16" s="198">
        <f>IF(B16&lt;=$C$2,1,IF(B16=$C$2+1,PRODUCT($F$5:F16),G15*F16))</f>
        <v>0.93485037404925375</v>
      </c>
      <c r="H16" s="63">
        <f t="shared" si="5"/>
        <v>0.982977068304</v>
      </c>
      <c r="I16" s="63">
        <f t="shared" si="5"/>
        <v>0.87394522186002965</v>
      </c>
      <c r="J16" s="60">
        <f t="shared" si="6"/>
        <v>0.99575552623847785</v>
      </c>
      <c r="K16" s="10">
        <f t="shared" si="0"/>
        <v>0.62459704958006512</v>
      </c>
      <c r="L16" s="60">
        <f t="shared" si="7"/>
        <v>0.62194596379159839</v>
      </c>
      <c r="N16" s="13">
        <f t="shared" si="8"/>
        <v>4978.777631192389</v>
      </c>
      <c r="O16" s="11">
        <f>(SUM(L17:$L$79)*$N$1)</f>
        <v>46719.839353035633</v>
      </c>
      <c r="P16" s="11">
        <f t="shared" si="9"/>
        <v>-3109.7298189579888</v>
      </c>
      <c r="V16" s="65">
        <v>12</v>
      </c>
      <c r="W16" s="66">
        <f>Inputs!H19</f>
        <v>1.3200000000000001E-4</v>
      </c>
    </row>
    <row r="17" spans="1:23" x14ac:dyDescent="0.25">
      <c r="A17">
        <f t="shared" si="1"/>
        <v>67</v>
      </c>
      <c r="B17">
        <v>13</v>
      </c>
      <c r="C17" s="12">
        <f t="shared" si="2"/>
        <v>9.0760000000000007E-3</v>
      </c>
      <c r="D17" s="61">
        <f t="shared" si="3"/>
        <v>0.99092400000000003</v>
      </c>
      <c r="E17" s="198">
        <f>IF(B17&lt;=$C$2,1,IF(B17=$C$2+1,PRODUCT($D$5:D17),E16*D17))</f>
        <v>0.9263656720543828</v>
      </c>
      <c r="F17" s="62">
        <f t="shared" si="4"/>
        <v>0.99092400000000003</v>
      </c>
      <c r="G17" s="198">
        <f>IF(B17&lt;=$C$2,1,IF(B17=$C$2+1,PRODUCT($F$5:F17),G16*F17))</f>
        <v>0.9263656720543828</v>
      </c>
      <c r="H17" s="63">
        <f t="shared" si="5"/>
        <v>0.98193037377600001</v>
      </c>
      <c r="I17" s="63">
        <f t="shared" si="5"/>
        <v>0.85815335836076834</v>
      </c>
      <c r="J17" s="60">
        <f t="shared" si="6"/>
        <v>0.99457798574799727</v>
      </c>
      <c r="K17" s="10">
        <f t="shared" si="0"/>
        <v>0.600574086134678</v>
      </c>
      <c r="L17" s="60">
        <f t="shared" si="7"/>
        <v>0.59731776488027222</v>
      </c>
      <c r="N17" s="13">
        <f t="shared" si="8"/>
        <v>4972.8899287399863</v>
      </c>
      <c r="O17" s="11">
        <f>(SUM(L18:$L$79)*$N$1)</f>
        <v>43733.250528634271</v>
      </c>
      <c r="P17" s="11">
        <f t="shared" si="9"/>
        <v>-2986.5888244013622</v>
      </c>
      <c r="V17" s="65">
        <v>13</v>
      </c>
      <c r="W17" s="66">
        <f>Inputs!H20</f>
        <v>1.6899999999999999E-4</v>
      </c>
    </row>
    <row r="18" spans="1:23" x14ac:dyDescent="0.25">
      <c r="A18">
        <f t="shared" si="1"/>
        <v>68</v>
      </c>
      <c r="B18">
        <v>14</v>
      </c>
      <c r="C18" s="12">
        <f t="shared" si="2"/>
        <v>9.7079999999999996E-3</v>
      </c>
      <c r="D18" s="61">
        <f t="shared" si="3"/>
        <v>0.99029199999999995</v>
      </c>
      <c r="E18" s="198">
        <f>IF(B18&lt;=$C$2,1,IF(B18=$C$2+1,PRODUCT($D$5:D18),E17*D18))</f>
        <v>0.91737251411007881</v>
      </c>
      <c r="F18" s="62">
        <f t="shared" si="4"/>
        <v>0.99029199999999995</v>
      </c>
      <c r="G18" s="198">
        <f>IF(B18&lt;=$C$2,1,IF(B18=$C$2+1,PRODUCT($F$5:F18),G17*F18))</f>
        <v>0.91737251411007881</v>
      </c>
      <c r="H18" s="63">
        <f t="shared" si="5"/>
        <v>0.98067824526399994</v>
      </c>
      <c r="I18" s="63">
        <f t="shared" si="5"/>
        <v>0.84157232964464679</v>
      </c>
      <c r="J18" s="60">
        <f t="shared" si="6"/>
        <v>0.99317269857551083</v>
      </c>
      <c r="K18" s="10">
        <f t="shared" si="0"/>
        <v>0.57747508282180582</v>
      </c>
      <c r="L18" s="60">
        <f t="shared" si="7"/>
        <v>0.57353248636624954</v>
      </c>
      <c r="N18" s="13">
        <f t="shared" si="8"/>
        <v>4965.8634928775546</v>
      </c>
      <c r="O18" s="11">
        <f>(SUM(L19:$L$79)*$N$1)</f>
        <v>40865.588096803018</v>
      </c>
      <c r="P18" s="11">
        <f t="shared" si="9"/>
        <v>-2867.6624318312533</v>
      </c>
      <c r="V18" s="65">
        <v>14</v>
      </c>
      <c r="W18" s="66">
        <f>Inputs!H21</f>
        <v>2.13E-4</v>
      </c>
    </row>
    <row r="19" spans="1:23" x14ac:dyDescent="0.25">
      <c r="A19">
        <f t="shared" si="1"/>
        <v>69</v>
      </c>
      <c r="B19">
        <v>15</v>
      </c>
      <c r="C19" s="12">
        <f t="shared" si="2"/>
        <v>1.0463E-2</v>
      </c>
      <c r="D19" s="61">
        <f t="shared" si="3"/>
        <v>0.989537</v>
      </c>
      <c r="E19" s="198">
        <f>IF(B19&lt;=$C$2,1,IF(B19=$C$2+1,PRODUCT($D$5:D19),E18*D19))</f>
        <v>0.907774045494945</v>
      </c>
      <c r="F19" s="62">
        <f t="shared" si="4"/>
        <v>0.989537</v>
      </c>
      <c r="G19" s="198">
        <f>IF(B19&lt;=$C$2,1,IF(B19=$C$2+1,PRODUCT($F$5:F19),G18*F19))</f>
        <v>0.907774045494945</v>
      </c>
      <c r="H19" s="63">
        <f t="shared" si="5"/>
        <v>0.979183474369</v>
      </c>
      <c r="I19" s="63">
        <f t="shared" si="5"/>
        <v>0.8240537176742585</v>
      </c>
      <c r="J19" s="60">
        <f t="shared" si="6"/>
        <v>0.99149437331563151</v>
      </c>
      <c r="K19" s="10">
        <f t="shared" si="0"/>
        <v>0.55526450271327477</v>
      </c>
      <c r="L19" s="60">
        <f t="shared" si="7"/>
        <v>0.5505416301421141</v>
      </c>
      <c r="N19" s="13">
        <f t="shared" si="8"/>
        <v>4957.4718665781575</v>
      </c>
      <c r="O19" s="11">
        <f>(SUM(L20:$L$79)*$N$1)</f>
        <v>38112.879946092427</v>
      </c>
      <c r="P19" s="11">
        <f t="shared" si="9"/>
        <v>-2752.7081507105904</v>
      </c>
      <c r="V19" s="65">
        <v>15</v>
      </c>
      <c r="W19" s="66">
        <f>Inputs!H22</f>
        <v>2.5399999999999999E-4</v>
      </c>
    </row>
    <row r="20" spans="1:23" x14ac:dyDescent="0.25">
      <c r="A20">
        <f t="shared" si="1"/>
        <v>70</v>
      </c>
      <c r="B20">
        <v>16</v>
      </c>
      <c r="C20" s="12">
        <f t="shared" si="2"/>
        <v>1.1357000000000001E-2</v>
      </c>
      <c r="D20" s="61">
        <f t="shared" si="3"/>
        <v>0.98864300000000005</v>
      </c>
      <c r="E20" s="198">
        <f>IF(B20&lt;=$C$2,1,IF(B20=$C$2+1,PRODUCT($D$5:D20),E19*D20))</f>
        <v>0.89746445566025901</v>
      </c>
      <c r="F20" s="62">
        <f t="shared" si="4"/>
        <v>0.98864300000000005</v>
      </c>
      <c r="G20" s="198">
        <f>IF(B20&lt;=$C$2,1,IF(B20=$C$2+1,PRODUCT($F$5:F20),G19*F20))</f>
        <v>0.89746445566025901</v>
      </c>
      <c r="H20" s="63">
        <f t="shared" si="5"/>
        <v>0.97741498144900008</v>
      </c>
      <c r="I20" s="63">
        <f t="shared" si="5"/>
        <v>0.805442449173565</v>
      </c>
      <c r="J20" s="60">
        <f t="shared" si="6"/>
        <v>0.98948646214695302</v>
      </c>
      <c r="K20" s="10">
        <f t="shared" si="0"/>
        <v>0.53390817568584104</v>
      </c>
      <c r="L20" s="60">
        <f t="shared" si="7"/>
        <v>0.52829491187071664</v>
      </c>
      <c r="N20" s="13">
        <f t="shared" si="8"/>
        <v>4947.4323107347655</v>
      </c>
      <c r="O20" s="11">
        <f>(SUM(L21:$L$79)*$N$1)</f>
        <v>35471.40538673885</v>
      </c>
      <c r="P20" s="11">
        <f t="shared" si="9"/>
        <v>-2641.4745593535772</v>
      </c>
      <c r="V20" s="65">
        <v>16</v>
      </c>
      <c r="W20" s="66">
        <f>Inputs!H23</f>
        <v>2.9300000000000002E-4</v>
      </c>
    </row>
    <row r="21" spans="1:23" x14ac:dyDescent="0.25">
      <c r="A21">
        <f t="shared" si="1"/>
        <v>71</v>
      </c>
      <c r="B21">
        <v>17</v>
      </c>
      <c r="C21" s="12">
        <f t="shared" si="2"/>
        <v>1.2418E-2</v>
      </c>
      <c r="D21" s="61">
        <f t="shared" si="3"/>
        <v>0.98758199999999996</v>
      </c>
      <c r="E21" s="198">
        <f>IF(B21&lt;=$C$2,1,IF(B21=$C$2+1,PRODUCT($D$5:D21),E20*D21))</f>
        <v>0.88631974204986985</v>
      </c>
      <c r="F21" s="62">
        <f t="shared" si="4"/>
        <v>0.98758199999999996</v>
      </c>
      <c r="G21" s="198">
        <f>IF(B21&lt;=$C$2,1,IF(B21=$C$2+1,PRODUCT($F$5:F21),G20*F21))</f>
        <v>0.88631974204986985</v>
      </c>
      <c r="H21" s="63">
        <f t="shared" si="5"/>
        <v>0.97531820672399994</v>
      </c>
      <c r="I21" s="63">
        <f t="shared" si="5"/>
        <v>0.78556268514734784</v>
      </c>
      <c r="J21" s="60">
        <f t="shared" si="6"/>
        <v>0.98707679895239187</v>
      </c>
      <c r="K21" s="10">
        <f t="shared" si="0"/>
        <v>0.51337324585177024</v>
      </c>
      <c r="L21" s="60">
        <f t="shared" si="7"/>
        <v>0.50673882018316463</v>
      </c>
      <c r="N21" s="13">
        <f t="shared" si="8"/>
        <v>4935.383994761959</v>
      </c>
      <c r="O21" s="11">
        <f>(SUM(L22:$L$79)*$N$1)</f>
        <v>32937.711285823025</v>
      </c>
      <c r="P21" s="11">
        <f t="shared" si="9"/>
        <v>-2533.6941009158254</v>
      </c>
      <c r="V21" s="65">
        <v>17</v>
      </c>
      <c r="W21" s="66">
        <f>Inputs!H24</f>
        <v>3.28E-4</v>
      </c>
    </row>
    <row r="22" spans="1:23" x14ac:dyDescent="0.25">
      <c r="A22">
        <f t="shared" si="1"/>
        <v>72</v>
      </c>
      <c r="B22">
        <v>18</v>
      </c>
      <c r="C22" s="12">
        <f t="shared" si="2"/>
        <v>1.3675E-2</v>
      </c>
      <c r="D22" s="61">
        <f t="shared" si="3"/>
        <v>0.98632500000000001</v>
      </c>
      <c r="E22" s="198">
        <f>IF(B22&lt;=$C$2,1,IF(B22=$C$2+1,PRODUCT($D$5:D22),E21*D22))</f>
        <v>0.87419931957733787</v>
      </c>
      <c r="F22" s="62">
        <f t="shared" si="4"/>
        <v>0.98632500000000001</v>
      </c>
      <c r="G22" s="198">
        <f>IF(B22&lt;=$C$2,1,IF(B22=$C$2+1,PRODUCT($F$5:F22),G21*F22))</f>
        <v>0.87419931957733787</v>
      </c>
      <c r="H22" s="63">
        <f t="shared" si="5"/>
        <v>0.97283700562499997</v>
      </c>
      <c r="I22" s="63">
        <f t="shared" si="5"/>
        <v>0.7642244503494805</v>
      </c>
      <c r="J22" s="60">
        <f t="shared" si="6"/>
        <v>0.98417418880519525</v>
      </c>
      <c r="K22" s="10">
        <f t="shared" si="0"/>
        <v>0.49362812101131748</v>
      </c>
      <c r="L22" s="60">
        <f t="shared" si="7"/>
        <v>0.48581605556774615</v>
      </c>
      <c r="N22" s="13">
        <f t="shared" si="8"/>
        <v>4920.8709440259763</v>
      </c>
      <c r="O22" s="11">
        <f>(SUM(L23:$L$79)*$N$1)</f>
        <v>30508.631007984292</v>
      </c>
      <c r="P22" s="11">
        <f t="shared" si="9"/>
        <v>-2429.0802778387333</v>
      </c>
      <c r="V22" s="65">
        <v>18</v>
      </c>
      <c r="W22" s="66">
        <f>Inputs!H25</f>
        <v>3.59E-4</v>
      </c>
    </row>
    <row r="23" spans="1:23" x14ac:dyDescent="0.25">
      <c r="A23">
        <f t="shared" si="1"/>
        <v>73</v>
      </c>
      <c r="B23">
        <v>19</v>
      </c>
      <c r="C23" s="12">
        <f t="shared" si="2"/>
        <v>1.515E-2</v>
      </c>
      <c r="D23" s="61">
        <f t="shared" si="3"/>
        <v>0.98485</v>
      </c>
      <c r="E23" s="198">
        <f>IF(B23&lt;=$C$2,1,IF(B23=$C$2+1,PRODUCT($D$5:D23),E22*D23))</f>
        <v>0.86095519988574121</v>
      </c>
      <c r="F23" s="62">
        <f t="shared" si="4"/>
        <v>0.98485</v>
      </c>
      <c r="G23" s="198">
        <f>IF(B23&lt;=$C$2,1,IF(B23=$C$2+1,PRODUCT($F$5:F23),G22*F23))</f>
        <v>0.86095519988574121</v>
      </c>
      <c r="H23" s="63">
        <f t="shared" si="5"/>
        <v>0.96992952249999997</v>
      </c>
      <c r="I23" s="63">
        <f t="shared" si="5"/>
        <v>0.74124385621029665</v>
      </c>
      <c r="J23" s="60">
        <f t="shared" si="6"/>
        <v>0.98066654356118577</v>
      </c>
      <c r="K23" s="10">
        <f t="shared" si="0"/>
        <v>0.47464242404934376</v>
      </c>
      <c r="L23" s="60">
        <f t="shared" si="7"/>
        <v>0.4654659454199726</v>
      </c>
      <c r="N23" s="13">
        <f t="shared" si="8"/>
        <v>4903.332717805929</v>
      </c>
      <c r="O23" s="11">
        <f>(SUM(L24:$L$79)*$N$1)</f>
        <v>28181.301280884425</v>
      </c>
      <c r="P23" s="11">
        <f t="shared" si="9"/>
        <v>-2327.3297270998664</v>
      </c>
      <c r="V23" s="65">
        <v>19</v>
      </c>
      <c r="W23" s="66">
        <f>Inputs!H26</f>
        <v>3.8699999999999997E-4</v>
      </c>
    </row>
    <row r="24" spans="1:23" x14ac:dyDescent="0.25">
      <c r="A24">
        <f t="shared" si="1"/>
        <v>74</v>
      </c>
      <c r="B24">
        <v>20</v>
      </c>
      <c r="C24" s="12">
        <f t="shared" si="2"/>
        <v>1.686E-2</v>
      </c>
      <c r="D24" s="61">
        <f t="shared" si="3"/>
        <v>0.98314000000000001</v>
      </c>
      <c r="E24" s="198">
        <f>IF(B24&lt;=$C$2,1,IF(B24=$C$2+1,PRODUCT($D$5:D24),E23*D24))</f>
        <v>0.84643949521566764</v>
      </c>
      <c r="F24" s="62">
        <f t="shared" si="4"/>
        <v>0.98314000000000001</v>
      </c>
      <c r="G24" s="198">
        <f>IF(B24&lt;=$C$2,1,IF(B24=$C$2+1,PRODUCT($F$5:F24),G23*F24))</f>
        <v>0.84643949521566764</v>
      </c>
      <c r="H24" s="63">
        <f t="shared" si="5"/>
        <v>0.96656425960000003</v>
      </c>
      <c r="I24" s="63">
        <f t="shared" si="5"/>
        <v>0.71645981906095424</v>
      </c>
      <c r="J24" s="60">
        <f t="shared" si="6"/>
        <v>0.97641917137038103</v>
      </c>
      <c r="K24" s="10">
        <f t="shared" si="0"/>
        <v>0.45638694620129205</v>
      </c>
      <c r="L24" s="60">
        <f t="shared" si="7"/>
        <v>0.44562496383412425</v>
      </c>
      <c r="N24" s="13">
        <f t="shared" si="8"/>
        <v>4882.0958568519054</v>
      </c>
      <c r="O24" s="11">
        <f>(SUM(L25:$L$79)*$N$1)</f>
        <v>25953.176461713803</v>
      </c>
      <c r="P24" s="11">
        <f t="shared" si="9"/>
        <v>-2228.1248191706218</v>
      </c>
      <c r="V24" s="65">
        <v>20</v>
      </c>
      <c r="W24" s="66">
        <f>Inputs!H27</f>
        <v>4.1399999999999998E-4</v>
      </c>
    </row>
    <row r="25" spans="1:23" x14ac:dyDescent="0.25">
      <c r="A25">
        <f t="shared" si="1"/>
        <v>75</v>
      </c>
      <c r="B25">
        <v>21</v>
      </c>
      <c r="C25" s="12">
        <f t="shared" si="2"/>
        <v>1.8814999999999998E-2</v>
      </c>
      <c r="D25" s="61">
        <f t="shared" si="3"/>
        <v>0.98118499999999997</v>
      </c>
      <c r="E25" s="198">
        <f>IF(B25&lt;=$C$2,1,IF(B25=$C$2+1,PRODUCT($D$5:D25),E24*D25))</f>
        <v>0.8305137361131848</v>
      </c>
      <c r="F25" s="62">
        <f t="shared" si="4"/>
        <v>0.98118499999999997</v>
      </c>
      <c r="G25" s="198">
        <f>IF(B25&lt;=$C$2,1,IF(B25=$C$2+1,PRODUCT($F$5:F25),G24*F25))</f>
        <v>0.8305137361131848</v>
      </c>
      <c r="H25" s="63">
        <f t="shared" si="5"/>
        <v>0.96272400422499993</v>
      </c>
      <c r="I25" s="63">
        <f t="shared" si="5"/>
        <v>0.6897530658726807</v>
      </c>
      <c r="J25" s="60">
        <f t="shared" si="6"/>
        <v>0.97127440635368889</v>
      </c>
      <c r="K25" s="10">
        <f t="shared" si="0"/>
        <v>0.43883360211662686</v>
      </c>
      <c r="L25" s="60">
        <f t="shared" si="7"/>
        <v>0.42622784638387767</v>
      </c>
      <c r="N25" s="13">
        <f t="shared" si="8"/>
        <v>4856.3720317684447</v>
      </c>
      <c r="O25" s="11">
        <f>(SUM(L26:$L$79)*$N$1)</f>
        <v>23822.037229794423</v>
      </c>
      <c r="P25" s="11">
        <f t="shared" si="9"/>
        <v>-2131.1392319193801</v>
      </c>
      <c r="V25" s="65">
        <v>21</v>
      </c>
      <c r="W25" s="66">
        <f>Inputs!H28</f>
        <v>4.4299999999999998E-4</v>
      </c>
    </row>
    <row r="26" spans="1:23" x14ac:dyDescent="0.25">
      <c r="A26">
        <f t="shared" si="1"/>
        <v>76</v>
      </c>
      <c r="B26">
        <v>22</v>
      </c>
      <c r="C26" s="12">
        <f t="shared" si="2"/>
        <v>2.1031000000000001E-2</v>
      </c>
      <c r="D26" s="61">
        <f t="shared" si="3"/>
        <v>0.97896899999999998</v>
      </c>
      <c r="E26" s="198">
        <f>IF(B26&lt;=$C$2,1,IF(B26=$C$2+1,PRODUCT($D$5:D26),E25*D26))</f>
        <v>0.81304720172898837</v>
      </c>
      <c r="F26" s="62">
        <f t="shared" si="4"/>
        <v>0.97896899999999998</v>
      </c>
      <c r="G26" s="198">
        <f>IF(B26&lt;=$C$2,1,IF(B26=$C$2+1,PRODUCT($F$5:F26),G25*F26))</f>
        <v>0.81304720172898837</v>
      </c>
      <c r="H26" s="63">
        <f t="shared" si="5"/>
        <v>0.95838030296099996</v>
      </c>
      <c r="I26" s="63">
        <f t="shared" si="5"/>
        <v>0.66104575223933826</v>
      </c>
      <c r="J26" s="60">
        <f t="shared" si="6"/>
        <v>0.96504865121863848</v>
      </c>
      <c r="K26" s="10">
        <f t="shared" si="0"/>
        <v>0.42195538665060278</v>
      </c>
      <c r="L26" s="60">
        <f t="shared" si="7"/>
        <v>0.40720747676160329</v>
      </c>
      <c r="N26" s="13">
        <f t="shared" si="8"/>
        <v>4825.243256093192</v>
      </c>
      <c r="O26" s="11">
        <f>(SUM(L27:$L$79)*$N$1)</f>
        <v>21785.999845986407</v>
      </c>
      <c r="P26" s="11">
        <f t="shared" si="9"/>
        <v>-2036.0373838080159</v>
      </c>
      <c r="V26" s="65">
        <v>22</v>
      </c>
      <c r="W26" s="66">
        <f>Inputs!H29</f>
        <v>4.73E-4</v>
      </c>
    </row>
    <row r="27" spans="1:23" x14ac:dyDescent="0.25">
      <c r="A27">
        <f t="shared" si="1"/>
        <v>77</v>
      </c>
      <c r="B27">
        <v>23</v>
      </c>
      <c r="C27" s="12">
        <f t="shared" si="2"/>
        <v>2.3539999999999998E-2</v>
      </c>
      <c r="D27" s="61">
        <f t="shared" si="3"/>
        <v>0.97645999999999999</v>
      </c>
      <c r="E27" s="198">
        <f>IF(B27&lt;=$C$2,1,IF(B27=$C$2+1,PRODUCT($D$5:D27),E26*D27))</f>
        <v>0.79390807060028801</v>
      </c>
      <c r="F27" s="62">
        <f t="shared" si="4"/>
        <v>0.97645999999999999</v>
      </c>
      <c r="G27" s="198">
        <f>IF(B27&lt;=$C$2,1,IF(B27=$C$2+1,PRODUCT($F$5:F27),G26*F27))</f>
        <v>0.79390807060028801</v>
      </c>
      <c r="H27" s="63">
        <f t="shared" si="5"/>
        <v>0.95347413159999994</v>
      </c>
      <c r="I27" s="63">
        <f t="shared" si="5"/>
        <v>0.63029002456427186</v>
      </c>
      <c r="J27" s="60">
        <f t="shared" si="6"/>
        <v>0.95752611663630416</v>
      </c>
      <c r="K27" s="10">
        <f t="shared" si="0"/>
        <v>0.40572633331788732</v>
      </c>
      <c r="L27" s="60">
        <f t="shared" si="7"/>
        <v>0.38849356035896337</v>
      </c>
      <c r="N27" s="13">
        <f t="shared" si="8"/>
        <v>4787.6305831815207</v>
      </c>
      <c r="O27" s="11">
        <f>(SUM(L28:$L$79)*$N$1)</f>
        <v>19843.53204419159</v>
      </c>
      <c r="P27" s="11">
        <f t="shared" si="9"/>
        <v>-1942.4678017948172</v>
      </c>
      <c r="V27" s="65">
        <v>23</v>
      </c>
      <c r="W27" s="66">
        <f>Inputs!H30</f>
        <v>5.13E-4</v>
      </c>
    </row>
    <row r="28" spans="1:23" x14ac:dyDescent="0.25">
      <c r="A28">
        <f t="shared" si="1"/>
        <v>78</v>
      </c>
      <c r="B28">
        <v>24</v>
      </c>
      <c r="C28" s="12">
        <f t="shared" si="2"/>
        <v>2.6374999999999999E-2</v>
      </c>
      <c r="D28" s="61">
        <f t="shared" si="3"/>
        <v>0.97362499999999996</v>
      </c>
      <c r="E28" s="198">
        <f>IF(B28&lt;=$C$2,1,IF(B28=$C$2+1,PRODUCT($D$5:D28),E27*D28))</f>
        <v>0.77296874523820536</v>
      </c>
      <c r="F28" s="62">
        <f t="shared" si="4"/>
        <v>0.97362499999999996</v>
      </c>
      <c r="G28" s="198">
        <f>IF(B28&lt;=$C$2,1,IF(B28=$C$2+1,PRODUCT($F$5:F28),G27*F28))</f>
        <v>0.77296874523820536</v>
      </c>
      <c r="H28" s="63">
        <f t="shared" si="5"/>
        <v>0.94794564062499997</v>
      </c>
      <c r="I28" s="63">
        <f t="shared" si="5"/>
        <v>0.59748068111512564</v>
      </c>
      <c r="J28" s="60">
        <f t="shared" si="6"/>
        <v>0.94845680936128507</v>
      </c>
      <c r="K28" s="10">
        <f t="shared" si="0"/>
        <v>0.39012147434412242</v>
      </c>
      <c r="L28" s="60">
        <f t="shared" si="7"/>
        <v>0.37001336881974678</v>
      </c>
      <c r="N28" s="13">
        <f t="shared" si="8"/>
        <v>4742.2840468064251</v>
      </c>
      <c r="O28" s="11">
        <f>(SUM(L29:$L$79)*$N$1)</f>
        <v>17993.465200092858</v>
      </c>
      <c r="P28" s="11">
        <f t="shared" si="9"/>
        <v>-1850.066844098732</v>
      </c>
      <c r="V28" s="65">
        <v>24</v>
      </c>
      <c r="W28" s="66">
        <f>Inputs!H31</f>
        <v>5.5400000000000002E-4</v>
      </c>
    </row>
    <row r="29" spans="1:23" x14ac:dyDescent="0.25">
      <c r="A29">
        <f t="shared" si="1"/>
        <v>79</v>
      </c>
      <c r="B29">
        <v>25</v>
      </c>
      <c r="C29" s="12">
        <f t="shared" si="2"/>
        <v>2.9572000000000001E-2</v>
      </c>
      <c r="D29" s="61">
        <f t="shared" si="3"/>
        <v>0.97042799999999996</v>
      </c>
      <c r="E29" s="198">
        <f>IF(B29&lt;=$C$2,1,IF(B29=$C$2+1,PRODUCT($D$5:D29),E28*D29))</f>
        <v>0.75011051350402114</v>
      </c>
      <c r="F29" s="62">
        <f t="shared" si="4"/>
        <v>0.97042799999999996</v>
      </c>
      <c r="G29" s="198">
        <f>IF(B29&lt;=$C$2,1,IF(B29=$C$2+1,PRODUCT($F$5:F29),G28*F29))</f>
        <v>0.75011051350402114</v>
      </c>
      <c r="H29" s="63">
        <f t="shared" si="5"/>
        <v>0.94173050318399987</v>
      </c>
      <c r="I29" s="63">
        <f t="shared" si="5"/>
        <v>0.56266578246926624</v>
      </c>
      <c r="J29" s="60">
        <f t="shared" si="6"/>
        <v>0.93755524453877603</v>
      </c>
      <c r="K29" s="10">
        <f t="shared" si="0"/>
        <v>0.37511680225396377</v>
      </c>
      <c r="L29" s="60">
        <f t="shared" si="7"/>
        <v>0.3516927252678187</v>
      </c>
      <c r="N29" s="13">
        <f t="shared" si="8"/>
        <v>4687.7762226938803</v>
      </c>
      <c r="O29" s="11">
        <f>(SUM(L30:$L$79)*$N$1)</f>
        <v>16235.001573753765</v>
      </c>
      <c r="P29" s="11">
        <f t="shared" si="9"/>
        <v>-1758.463626339093</v>
      </c>
      <c r="V29" s="65">
        <v>25</v>
      </c>
      <c r="W29" s="66">
        <f>Inputs!H32</f>
        <v>6.02E-4</v>
      </c>
    </row>
    <row r="30" spans="1:23" x14ac:dyDescent="0.25">
      <c r="A30">
        <f t="shared" si="1"/>
        <v>80</v>
      </c>
      <c r="B30">
        <v>26</v>
      </c>
      <c r="C30" s="12">
        <f t="shared" si="2"/>
        <v>3.3234E-2</v>
      </c>
      <c r="D30" s="61">
        <f t="shared" si="3"/>
        <v>0.96676600000000001</v>
      </c>
      <c r="E30" s="198">
        <f>IF(B30&lt;=$C$2,1,IF(B30=$C$2+1,PRODUCT($D$5:D30),E29*D30))</f>
        <v>0.72518134069822848</v>
      </c>
      <c r="F30" s="62">
        <f t="shared" si="4"/>
        <v>0.96676600000000001</v>
      </c>
      <c r="G30" s="198">
        <f>IF(B30&lt;=$C$2,1,IF(B30=$C$2+1,PRODUCT($F$5:F30),G29*F30))</f>
        <v>0.72518134069822848</v>
      </c>
      <c r="H30" s="63">
        <f t="shared" si="5"/>
        <v>0.93463649875600008</v>
      </c>
      <c r="I30" s="63">
        <f t="shared" si="5"/>
        <v>0.52588797689688016</v>
      </c>
      <c r="J30" s="60">
        <f t="shared" si="6"/>
        <v>0.9244747044995768</v>
      </c>
      <c r="K30" s="10">
        <f t="shared" si="0"/>
        <v>0.36068923293650368</v>
      </c>
      <c r="L30" s="60">
        <f t="shared" si="7"/>
        <v>0.33344807203515325</v>
      </c>
      <c r="N30" s="13">
        <f t="shared" si="8"/>
        <v>4622.3735224978836</v>
      </c>
      <c r="O30" s="11">
        <f>(SUM(L31:$L$79)*$N$1)</f>
        <v>14567.761213577996</v>
      </c>
      <c r="P30" s="11">
        <f t="shared" si="9"/>
        <v>-1667.2403601757687</v>
      </c>
      <c r="V30" s="65">
        <v>26</v>
      </c>
      <c r="W30" s="66">
        <f>Inputs!H33</f>
        <v>6.5499999999999998E-4</v>
      </c>
    </row>
    <row r="31" spans="1:23" x14ac:dyDescent="0.25">
      <c r="A31">
        <f t="shared" si="1"/>
        <v>81</v>
      </c>
      <c r="B31">
        <v>27</v>
      </c>
      <c r="C31" s="12">
        <f t="shared" si="2"/>
        <v>3.7532999999999997E-2</v>
      </c>
      <c r="D31" s="61">
        <f t="shared" si="3"/>
        <v>0.96246699999999996</v>
      </c>
      <c r="E31" s="198">
        <f>IF(B31&lt;=$C$2,1,IF(B31=$C$2+1,PRODUCT($D$5:D31),E30*D31))</f>
        <v>0.69796310943780182</v>
      </c>
      <c r="F31" s="62">
        <f t="shared" si="4"/>
        <v>0.96246699999999996</v>
      </c>
      <c r="G31" s="198">
        <f>IF(B31&lt;=$C$2,1,IF(B31=$C$2+1,PRODUCT($F$5:F31),G30*F31))</f>
        <v>0.69796310943780182</v>
      </c>
      <c r="H31" s="63">
        <f t="shared" si="5"/>
        <v>0.92634272608899992</v>
      </c>
      <c r="I31" s="63">
        <f t="shared" si="5"/>
        <v>0.48715250213608491</v>
      </c>
      <c r="J31" s="60">
        <f t="shared" si="6"/>
        <v>0.90877371673951868</v>
      </c>
      <c r="K31" s="10">
        <f t="shared" si="0"/>
        <v>0.3468165701312535</v>
      </c>
      <c r="L31" s="60">
        <f t="shared" si="7"/>
        <v>0.31517778346503117</v>
      </c>
      <c r="N31" s="13">
        <f t="shared" si="8"/>
        <v>4543.8685836975937</v>
      </c>
      <c r="O31" s="11">
        <f>(SUM(L32:$L$79)*$N$1)</f>
        <v>12991.872296252843</v>
      </c>
      <c r="P31" s="11">
        <f t="shared" si="9"/>
        <v>-1575.8889173251537</v>
      </c>
      <c r="V31" s="65">
        <v>27</v>
      </c>
      <c r="W31" s="66">
        <f>Inputs!H34</f>
        <v>6.8800000000000003E-4</v>
      </c>
    </row>
    <row r="32" spans="1:23" x14ac:dyDescent="0.25">
      <c r="A32">
        <f t="shared" si="1"/>
        <v>82</v>
      </c>
      <c r="B32">
        <v>28</v>
      </c>
      <c r="C32" s="12">
        <f t="shared" si="2"/>
        <v>4.2261E-2</v>
      </c>
      <c r="D32" s="61">
        <f t="shared" si="3"/>
        <v>0.95773900000000001</v>
      </c>
      <c r="E32" s="198">
        <f>IF(B32&lt;=$C$2,1,IF(B32=$C$2+1,PRODUCT($D$5:D32),E31*D32))</f>
        <v>0.66846649046985085</v>
      </c>
      <c r="F32" s="62">
        <f t="shared" si="4"/>
        <v>0.95773900000000001</v>
      </c>
      <c r="G32" s="198">
        <f>IF(B32&lt;=$C$2,1,IF(B32=$C$2+1,PRODUCT($F$5:F32),G31*F32))</f>
        <v>0.66846649046985085</v>
      </c>
      <c r="H32" s="63">
        <f t="shared" si="5"/>
        <v>0.91726399212099996</v>
      </c>
      <c r="I32" s="63">
        <f t="shared" si="5"/>
        <v>0.44684744888107919</v>
      </c>
      <c r="J32" s="60">
        <f t="shared" si="6"/>
        <v>0.89008553205862251</v>
      </c>
      <c r="K32" s="10">
        <f t="shared" si="0"/>
        <v>0.3334774712800514</v>
      </c>
      <c r="L32" s="60">
        <f t="shared" si="7"/>
        <v>0.29682347245386853</v>
      </c>
      <c r="N32" s="13">
        <f t="shared" si="8"/>
        <v>4450.4276602931122</v>
      </c>
      <c r="O32" s="11">
        <f>(SUM(L33:$L$79)*$N$1)</f>
        <v>11507.754933983499</v>
      </c>
      <c r="P32" s="11">
        <f t="shared" si="9"/>
        <v>-1484.1173622693441</v>
      </c>
      <c r="V32" s="65">
        <v>28</v>
      </c>
      <c r="W32" s="66">
        <f>Inputs!H35</f>
        <v>7.1000000000000002E-4</v>
      </c>
    </row>
    <row r="33" spans="1:23" x14ac:dyDescent="0.25">
      <c r="A33">
        <f t="shared" si="1"/>
        <v>83</v>
      </c>
      <c r="B33">
        <v>29</v>
      </c>
      <c r="C33" s="12">
        <f t="shared" si="2"/>
        <v>4.7440999999999997E-2</v>
      </c>
      <c r="D33" s="61">
        <f t="shared" si="3"/>
        <v>0.95255900000000004</v>
      </c>
      <c r="E33" s="198">
        <f>IF(B33&lt;=$C$2,1,IF(B33=$C$2+1,PRODUCT($D$5:D33),E32*D33))</f>
        <v>0.63675377169547065</v>
      </c>
      <c r="F33" s="62">
        <f t="shared" si="4"/>
        <v>0.95255900000000004</v>
      </c>
      <c r="G33" s="198">
        <f>IF(B33&lt;=$C$2,1,IF(B33=$C$2+1,PRODUCT($F$5:F33),G32*F33))</f>
        <v>0.63675377169547065</v>
      </c>
      <c r="H33" s="63">
        <f t="shared" si="5"/>
        <v>0.90736864848100007</v>
      </c>
      <c r="I33" s="63">
        <f t="shared" si="5"/>
        <v>0.40545536576840757</v>
      </c>
      <c r="J33" s="60">
        <f t="shared" si="6"/>
        <v>0.86805217762253373</v>
      </c>
      <c r="K33" s="10">
        <f t="shared" si="0"/>
        <v>0.32065141469235708</v>
      </c>
      <c r="L33" s="60">
        <f t="shared" si="7"/>
        <v>0.27834215878144669</v>
      </c>
      <c r="N33" s="13">
        <f t="shared" si="8"/>
        <v>4340.2608881126689</v>
      </c>
      <c r="O33" s="11">
        <f>(SUM(L34:$L$79)*$N$1)</f>
        <v>10116.044140076263</v>
      </c>
      <c r="P33" s="11">
        <f t="shared" si="9"/>
        <v>-1391.7107939072357</v>
      </c>
      <c r="V33" s="65">
        <v>29</v>
      </c>
      <c r="W33" s="66">
        <f>Inputs!H36</f>
        <v>7.27E-4</v>
      </c>
    </row>
    <row r="34" spans="1:23" x14ac:dyDescent="0.25">
      <c r="A34">
        <f t="shared" si="1"/>
        <v>84</v>
      </c>
      <c r="B34">
        <v>30</v>
      </c>
      <c r="C34" s="12">
        <f t="shared" si="2"/>
        <v>5.3233000000000003E-2</v>
      </c>
      <c r="D34" s="61">
        <f t="shared" si="3"/>
        <v>0.94676700000000003</v>
      </c>
      <c r="E34" s="198">
        <f>IF(B34&lt;=$C$2,1,IF(B34=$C$2+1,PRODUCT($D$5:D34),E33*D34))</f>
        <v>0.60285745816680569</v>
      </c>
      <c r="F34" s="62">
        <f t="shared" si="4"/>
        <v>0.94676700000000003</v>
      </c>
      <c r="G34" s="198">
        <f>IF(B34&lt;=$C$2,1,IF(B34=$C$2+1,PRODUCT($F$5:F34),G33*F34))</f>
        <v>0.60285745816680569</v>
      </c>
      <c r="H34" s="63">
        <f t="shared" si="5"/>
        <v>0.89636775228900001</v>
      </c>
      <c r="I34" s="63">
        <f t="shared" si="5"/>
        <v>0.36343711486734187</v>
      </c>
      <c r="J34" s="60">
        <f t="shared" si="6"/>
        <v>0.84227780146626952</v>
      </c>
      <c r="K34" s="10">
        <f t="shared" si="0"/>
        <v>0.30831866797342034</v>
      </c>
      <c r="L34" s="60">
        <f t="shared" si="7"/>
        <v>0.2596899698116612</v>
      </c>
      <c r="N34" s="13">
        <f t="shared" si="8"/>
        <v>4211.3890073313478</v>
      </c>
      <c r="O34" s="11">
        <f>(SUM(L35:$L$79)*$N$1)</f>
        <v>8817.5942910179656</v>
      </c>
      <c r="P34" s="11">
        <f t="shared" si="9"/>
        <v>-1298.4498490582973</v>
      </c>
      <c r="V34" s="65">
        <v>30</v>
      </c>
      <c r="W34" s="66">
        <f>Inputs!H37</f>
        <v>7.4100000000000001E-4</v>
      </c>
    </row>
    <row r="35" spans="1:23" x14ac:dyDescent="0.25">
      <c r="A35">
        <f t="shared" si="1"/>
        <v>85</v>
      </c>
      <c r="B35">
        <v>31</v>
      </c>
      <c r="C35" s="12">
        <f t="shared" si="2"/>
        <v>5.9854999999999998E-2</v>
      </c>
      <c r="D35" s="61">
        <f t="shared" si="3"/>
        <v>0.94014500000000001</v>
      </c>
      <c r="E35" s="198">
        <f>IF(B35&lt;=$C$2,1,IF(B35=$C$2+1,PRODUCT($D$5:D35),E34*D35))</f>
        <v>0.56677342500823158</v>
      </c>
      <c r="F35" s="62">
        <f t="shared" si="4"/>
        <v>0.94014500000000001</v>
      </c>
      <c r="G35" s="198">
        <f>IF(B35&lt;=$C$2,1,IF(B35=$C$2+1,PRODUCT($F$5:F35),G34*F35))</f>
        <v>0.56677342500823158</v>
      </c>
      <c r="H35" s="63">
        <f t="shared" ref="H35:I70" si="11">+D35*F35</f>
        <v>0.88387262102499997</v>
      </c>
      <c r="I35" s="63">
        <f t="shared" si="11"/>
        <v>0.3212321152955615</v>
      </c>
      <c r="J35" s="60">
        <f t="shared" si="6"/>
        <v>0.81231473472090165</v>
      </c>
      <c r="K35" s="10">
        <f t="shared" si="0"/>
        <v>0.29646025766675027</v>
      </c>
      <c r="L35" s="60">
        <f t="shared" si="7"/>
        <v>0.24081903556185641</v>
      </c>
      <c r="N35" s="13">
        <f t="shared" si="8"/>
        <v>4061.5736736045083</v>
      </c>
      <c r="O35" s="11">
        <f>(SUM(L36:$L$79)*$N$1)</f>
        <v>7613.4991132086816</v>
      </c>
      <c r="P35" s="11">
        <f t="shared" si="9"/>
        <v>-1204.095177809284</v>
      </c>
      <c r="V35" s="65">
        <v>31</v>
      </c>
      <c r="W35" s="66">
        <f>Inputs!H38</f>
        <v>7.5100000000000004E-4</v>
      </c>
    </row>
    <row r="36" spans="1:23" x14ac:dyDescent="0.25">
      <c r="A36">
        <f t="shared" si="1"/>
        <v>86</v>
      </c>
      <c r="B36">
        <v>32</v>
      </c>
      <c r="C36" s="12">
        <f t="shared" si="2"/>
        <v>6.7514000000000005E-2</v>
      </c>
      <c r="D36" s="61">
        <f t="shared" si="3"/>
        <v>0.93248600000000004</v>
      </c>
      <c r="E36" s="198">
        <f>IF(B36&lt;=$C$2,1,IF(B36=$C$2+1,PRODUCT($D$5:D36),E35*D36))</f>
        <v>0.52850828399222582</v>
      </c>
      <c r="F36" s="62">
        <f t="shared" si="4"/>
        <v>0.93248600000000004</v>
      </c>
      <c r="G36" s="198">
        <f>IF(B36&lt;=$C$2,1,IF(B36=$C$2+1,PRODUCT($F$5:F36),G35*F36))</f>
        <v>0.52850828399222582</v>
      </c>
      <c r="H36" s="63">
        <f t="shared" si="11"/>
        <v>0.86953014019600006</v>
      </c>
      <c r="I36" s="63">
        <f t="shared" si="11"/>
        <v>0.27932100624840722</v>
      </c>
      <c r="J36" s="60">
        <f t="shared" si="6"/>
        <v>0.77769556173604437</v>
      </c>
      <c r="K36" s="10">
        <f t="shared" si="0"/>
        <v>0.28505794006418295</v>
      </c>
      <c r="L36" s="60">
        <f t="shared" si="7"/>
        <v>0.22168829482553443</v>
      </c>
      <c r="N36" s="13">
        <f t="shared" si="8"/>
        <v>3888.4778086802216</v>
      </c>
      <c r="O36" s="11">
        <f>(SUM(L37:$L$79)*$N$1)</f>
        <v>6505.0576390810093</v>
      </c>
      <c r="P36" s="11">
        <f t="shared" si="9"/>
        <v>-1108.4414741276723</v>
      </c>
      <c r="V36" s="65">
        <v>32</v>
      </c>
      <c r="W36" s="66">
        <f>Inputs!H39</f>
        <v>7.54E-4</v>
      </c>
    </row>
    <row r="37" spans="1:23" x14ac:dyDescent="0.25">
      <c r="A37">
        <f t="shared" si="1"/>
        <v>87</v>
      </c>
      <c r="B37">
        <v>33</v>
      </c>
      <c r="C37" s="12">
        <f t="shared" si="2"/>
        <v>7.6340000000000005E-2</v>
      </c>
      <c r="D37" s="61">
        <f t="shared" si="3"/>
        <v>0.92366000000000004</v>
      </c>
      <c r="E37" s="198">
        <f>IF(B37&lt;=$C$2,1,IF(B37=$C$2+1,PRODUCT($D$5:D37),E36*D37))</f>
        <v>0.48816196159225933</v>
      </c>
      <c r="F37" s="62">
        <f t="shared" si="4"/>
        <v>0.92366000000000004</v>
      </c>
      <c r="G37" s="198">
        <f>IF(B37&lt;=$C$2,1,IF(B37=$C$2+1,PRODUCT($F$5:F37),G36*F37))</f>
        <v>0.48816196159225933</v>
      </c>
      <c r="H37" s="63">
        <f t="shared" si="11"/>
        <v>0.85314779560000009</v>
      </c>
      <c r="I37" s="63">
        <f t="shared" si="11"/>
        <v>0.23830210074560249</v>
      </c>
      <c r="J37" s="60">
        <f t="shared" si="6"/>
        <v>0.73802182243891612</v>
      </c>
      <c r="K37" s="10">
        <f t="shared" si="0"/>
        <v>0.27409417313863743</v>
      </c>
      <c r="L37" s="60">
        <f t="shared" si="7"/>
        <v>0.202287481179665</v>
      </c>
      <c r="N37" s="13">
        <f t="shared" si="8"/>
        <v>3690.1091121945806</v>
      </c>
      <c r="O37" s="11">
        <f>(SUM(L38:$L$79)*$N$1)</f>
        <v>5493.6202331826844</v>
      </c>
      <c r="P37" s="11">
        <f t="shared" si="9"/>
        <v>-1011.4374058983249</v>
      </c>
      <c r="V37" s="65">
        <v>33</v>
      </c>
      <c r="W37" s="66">
        <f>Inputs!H40</f>
        <v>7.5600000000000005E-4</v>
      </c>
    </row>
    <row r="38" spans="1:23" x14ac:dyDescent="0.25">
      <c r="A38">
        <f t="shared" si="1"/>
        <v>88</v>
      </c>
      <c r="B38">
        <v>34</v>
      </c>
      <c r="C38" s="12">
        <f t="shared" si="2"/>
        <v>8.6388000000000006E-2</v>
      </c>
      <c r="D38" s="61">
        <f t="shared" si="3"/>
        <v>0.91361199999999998</v>
      </c>
      <c r="E38" s="198">
        <f>IF(B38&lt;=$C$2,1,IF(B38=$C$2+1,PRODUCT($D$5:D38),E37*D38))</f>
        <v>0.44599062605422723</v>
      </c>
      <c r="F38" s="62">
        <f t="shared" si="4"/>
        <v>0.91361199999999998</v>
      </c>
      <c r="G38" s="198">
        <f>IF(B38&lt;=$C$2,1,IF(B38=$C$2+1,PRODUCT($F$5:F38),G37*F38))</f>
        <v>0.44599062605422723</v>
      </c>
      <c r="H38" s="63">
        <f t="shared" si="11"/>
        <v>0.83468688654399992</v>
      </c>
      <c r="I38" s="63">
        <f t="shared" si="11"/>
        <v>0.19890763852824156</v>
      </c>
      <c r="J38" s="60">
        <f t="shared" si="6"/>
        <v>0.69307361358021291</v>
      </c>
      <c r="K38" s="10">
        <f t="shared" si="0"/>
        <v>0.26355208955638215</v>
      </c>
      <c r="L38" s="60">
        <f t="shared" si="7"/>
        <v>0.18266099907545766</v>
      </c>
      <c r="N38" s="13">
        <f t="shared" si="8"/>
        <v>3465.3680679010645</v>
      </c>
      <c r="O38" s="11">
        <f>(SUM(L39:$L$79)*$N$1)</f>
        <v>4580.3152378053937</v>
      </c>
      <c r="P38" s="11">
        <f t="shared" si="9"/>
        <v>-913.30499537729065</v>
      </c>
      <c r="V38" s="65">
        <v>34</v>
      </c>
      <c r="W38" s="66">
        <f>Inputs!H41</f>
        <v>7.5600000000000005E-4</v>
      </c>
    </row>
    <row r="39" spans="1:23" x14ac:dyDescent="0.25">
      <c r="A39">
        <f t="shared" si="1"/>
        <v>89</v>
      </c>
      <c r="B39">
        <v>35</v>
      </c>
      <c r="C39" s="12">
        <f t="shared" si="2"/>
        <v>9.7633999999999999E-2</v>
      </c>
      <c r="D39" s="61">
        <f t="shared" si="3"/>
        <v>0.902366</v>
      </c>
      <c r="E39" s="198">
        <f>IF(B39&lt;=$C$2,1,IF(B39=$C$2+1,PRODUCT($D$5:D39),E38*D39))</f>
        <v>0.40244677727004879</v>
      </c>
      <c r="F39" s="62">
        <f t="shared" si="4"/>
        <v>0.902366</v>
      </c>
      <c r="G39" s="198">
        <f>IF(B39&lt;=$C$2,1,IF(B39=$C$2+1,PRODUCT($F$5:F39),G38*F39))</f>
        <v>0.40244677727004879</v>
      </c>
      <c r="H39" s="63">
        <f t="shared" si="11"/>
        <v>0.81426439795600003</v>
      </c>
      <c r="I39" s="63">
        <f t="shared" si="11"/>
        <v>0.16196340853504826</v>
      </c>
      <c r="J39" s="60">
        <f t="shared" si="6"/>
        <v>0.64293014600504939</v>
      </c>
      <c r="K39" s="10">
        <f t="shared" si="0"/>
        <v>0.25341547072729048</v>
      </c>
      <c r="L39" s="60">
        <f t="shared" si="7"/>
        <v>0.16292844559463518</v>
      </c>
      <c r="N39" s="13">
        <f t="shared" si="8"/>
        <v>3214.650730025247</v>
      </c>
      <c r="O39" s="11">
        <f>(SUM(L40:$L$79)*$N$1)</f>
        <v>3765.6730098322182</v>
      </c>
      <c r="P39" s="11">
        <f t="shared" si="9"/>
        <v>-814.64222797317552</v>
      </c>
      <c r="V39" s="65">
        <v>35</v>
      </c>
      <c r="W39" s="66">
        <f>Inputs!H42</f>
        <v>7.5600000000000005E-4</v>
      </c>
    </row>
    <row r="40" spans="1:23" x14ac:dyDescent="0.25">
      <c r="A40">
        <f t="shared" si="1"/>
        <v>90</v>
      </c>
      <c r="B40">
        <v>36</v>
      </c>
      <c r="C40" s="12">
        <f t="shared" si="2"/>
        <v>0.10999299999999999</v>
      </c>
      <c r="D40" s="61">
        <f t="shared" si="3"/>
        <v>0.89000699999999999</v>
      </c>
      <c r="E40" s="198">
        <f>IF(B40&lt;=$C$2,1,IF(B40=$C$2+1,PRODUCT($D$5:D40),E39*D40))</f>
        <v>0.35818044889778433</v>
      </c>
      <c r="F40" s="62">
        <f t="shared" si="4"/>
        <v>0.89000699999999999</v>
      </c>
      <c r="G40" s="198">
        <f>IF(B40&lt;=$C$2,1,IF(B40=$C$2+1,PRODUCT($F$5:F40),G39*F40))</f>
        <v>0.35818044889778433</v>
      </c>
      <c r="H40" s="63">
        <f t="shared" si="11"/>
        <v>0.79211246004899993</v>
      </c>
      <c r="I40" s="63">
        <f t="shared" si="11"/>
        <v>0.1282932339726183</v>
      </c>
      <c r="J40" s="60">
        <f t="shared" si="6"/>
        <v>0.58806766382295039</v>
      </c>
      <c r="K40" s="10">
        <f t="shared" si="0"/>
        <v>0.24366872185316396</v>
      </c>
      <c r="L40" s="60">
        <f t="shared" si="7"/>
        <v>0.14329369600691444</v>
      </c>
      <c r="N40" s="13">
        <f t="shared" si="8"/>
        <v>2940.3383191147518</v>
      </c>
      <c r="O40" s="11">
        <f>(SUM(L41:$L$79)*$N$1)</f>
        <v>3049.204529797646</v>
      </c>
      <c r="P40" s="11">
        <f t="shared" si="9"/>
        <v>-716.46848003457217</v>
      </c>
      <c r="V40" s="65">
        <v>36</v>
      </c>
      <c r="W40" s="66">
        <f>Inputs!H43</f>
        <v>7.5600000000000005E-4</v>
      </c>
    </row>
    <row r="41" spans="1:23" x14ac:dyDescent="0.25">
      <c r="A41">
        <f t="shared" si="1"/>
        <v>91</v>
      </c>
      <c r="B41">
        <v>37</v>
      </c>
      <c r="C41" s="12">
        <f t="shared" si="2"/>
        <v>0.12311900000000001</v>
      </c>
      <c r="D41" s="61">
        <f t="shared" si="3"/>
        <v>0.87688100000000002</v>
      </c>
      <c r="E41" s="198">
        <f>IF(B41&lt;=$C$2,1,IF(B41=$C$2+1,PRODUCT($D$5:D41),E40*D41))</f>
        <v>0.31408163020993801</v>
      </c>
      <c r="F41" s="62">
        <f t="shared" si="4"/>
        <v>0.87688100000000002</v>
      </c>
      <c r="G41" s="198">
        <f>IF(B41&lt;=$C$2,1,IF(B41=$C$2+1,PRODUCT($F$5:F41),G40*F41))</f>
        <v>0.31408163020993801</v>
      </c>
      <c r="H41" s="63">
        <f t="shared" si="11"/>
        <v>0.768920288161</v>
      </c>
      <c r="I41" s="63">
        <f t="shared" si="11"/>
        <v>9.8647270435332252E-2</v>
      </c>
      <c r="J41" s="60">
        <f t="shared" si="6"/>
        <v>0.52951598998454374</v>
      </c>
      <c r="K41" s="10">
        <f t="shared" si="0"/>
        <v>0.23429684793573452</v>
      </c>
      <c r="L41" s="60">
        <f t="shared" si="7"/>
        <v>0.12406392738494856</v>
      </c>
      <c r="N41" s="13">
        <f t="shared" si="8"/>
        <v>2647.5799499227187</v>
      </c>
      <c r="O41" s="11">
        <f>(SUM(L42:$L$79)*$N$1)</f>
        <v>2428.8848928729044</v>
      </c>
      <c r="P41" s="11">
        <f t="shared" si="9"/>
        <v>-620.31963692474164</v>
      </c>
      <c r="V41" s="65">
        <v>37</v>
      </c>
      <c r="W41" s="66">
        <f>Inputs!H44</f>
        <v>7.5600000000000005E-4</v>
      </c>
    </row>
    <row r="42" spans="1:23" x14ac:dyDescent="0.25">
      <c r="A42">
        <f t="shared" si="1"/>
        <v>92</v>
      </c>
      <c r="B42">
        <v>38</v>
      </c>
      <c r="C42" s="12">
        <f t="shared" si="2"/>
        <v>0.13716800000000001</v>
      </c>
      <c r="D42" s="61">
        <f t="shared" si="3"/>
        <v>0.86283200000000004</v>
      </c>
      <c r="E42" s="198">
        <f>IF(B42&lt;=$C$2,1,IF(B42=$C$2+1,PRODUCT($D$5:D42),E41*D42))</f>
        <v>0.27099968115730128</v>
      </c>
      <c r="F42" s="62">
        <f t="shared" si="4"/>
        <v>0.86283200000000004</v>
      </c>
      <c r="G42" s="198">
        <f>IF(B42&lt;=$C$2,1,IF(B42=$C$2+1,PRODUCT($F$5:F42),G41*F42))</f>
        <v>0.27099968115730128</v>
      </c>
      <c r="H42" s="63">
        <f t="shared" si="11"/>
        <v>0.74447906022400012</v>
      </c>
      <c r="I42" s="63">
        <f t="shared" si="11"/>
        <v>7.3440827187358948E-2</v>
      </c>
      <c r="J42" s="60">
        <f t="shared" si="6"/>
        <v>0.4685585351272436</v>
      </c>
      <c r="K42" s="10">
        <f t="shared" si="0"/>
        <v>0.22528543070743706</v>
      </c>
      <c r="L42" s="60">
        <f t="shared" si="7"/>
        <v>0.10555941139778685</v>
      </c>
      <c r="N42" s="13">
        <f t="shared" si="8"/>
        <v>2342.7926756362181</v>
      </c>
      <c r="O42" s="11">
        <f>(SUM(L43:$L$79)*$N$1)</f>
        <v>1901.0878358839702</v>
      </c>
      <c r="P42" s="11">
        <f t="shared" si="9"/>
        <v>-527.79705698893417</v>
      </c>
      <c r="V42" s="65">
        <v>38</v>
      </c>
      <c r="W42" s="66">
        <f>Inputs!H45</f>
        <v>7.5600000000000005E-4</v>
      </c>
    </row>
    <row r="43" spans="1:23" x14ac:dyDescent="0.25">
      <c r="A43">
        <f t="shared" si="1"/>
        <v>93</v>
      </c>
      <c r="B43">
        <v>39</v>
      </c>
      <c r="C43" s="12">
        <f t="shared" si="2"/>
        <v>0.152171</v>
      </c>
      <c r="D43" s="61">
        <f t="shared" si="3"/>
        <v>0.84782899999999994</v>
      </c>
      <c r="E43" s="198">
        <f>IF(B43&lt;=$C$2,1,IF(B43=$C$2+1,PRODUCT($D$5:D43),E42*D43))</f>
        <v>0.22976138867591356</v>
      </c>
      <c r="F43" s="62">
        <f t="shared" si="4"/>
        <v>0.84782899999999994</v>
      </c>
      <c r="G43" s="198">
        <f>IF(B43&lt;=$C$2,1,IF(B43=$C$2+1,PRODUCT($F$5:F43),G42*F43))</f>
        <v>0.22976138867591356</v>
      </c>
      <c r="H43" s="63">
        <f t="shared" si="11"/>
        <v>0.71881401324099992</v>
      </c>
      <c r="I43" s="63">
        <f t="shared" si="11"/>
        <v>5.2790295726284221E-2</v>
      </c>
      <c r="J43" s="60">
        <f t="shared" si="6"/>
        <v>0.40673248162554287</v>
      </c>
      <c r="K43" s="10">
        <f t="shared" si="0"/>
        <v>0.21662060644945874</v>
      </c>
      <c r="L43" s="60">
        <f t="shared" si="7"/>
        <v>8.8106636832418428E-2</v>
      </c>
      <c r="N43" s="13">
        <f t="shared" si="8"/>
        <v>2033.6624081277143</v>
      </c>
      <c r="O43" s="11">
        <f>(SUM(L44:$L$79)*$N$1)</f>
        <v>1460.5546517218781</v>
      </c>
      <c r="P43" s="11">
        <f t="shared" si="9"/>
        <v>-440.53318416209208</v>
      </c>
      <c r="V43" s="65">
        <v>39</v>
      </c>
      <c r="W43" s="66">
        <f>Inputs!H46</f>
        <v>8.0000000000000004E-4</v>
      </c>
    </row>
    <row r="44" spans="1:23" x14ac:dyDescent="0.25">
      <c r="A44">
        <f t="shared" si="1"/>
        <v>94</v>
      </c>
      <c r="B44">
        <v>40</v>
      </c>
      <c r="C44" s="12">
        <f t="shared" si="2"/>
        <v>0.16819400000000001</v>
      </c>
      <c r="D44" s="61">
        <f t="shared" si="3"/>
        <v>0.83180600000000005</v>
      </c>
      <c r="E44" s="198">
        <f>IF(B44&lt;=$C$2,1,IF(B44=$C$2+1,PRODUCT($D$5:D44),E43*D44))</f>
        <v>0.19111690166895695</v>
      </c>
      <c r="F44" s="62">
        <f t="shared" si="4"/>
        <v>0.83180600000000005</v>
      </c>
      <c r="G44" s="198">
        <f>IF(B44&lt;=$C$2,1,IF(B44=$C$2+1,PRODUCT($F$5:F44),G43*F44))</f>
        <v>0.19111690166895695</v>
      </c>
      <c r="H44" s="63">
        <f t="shared" si="11"/>
        <v>0.6919012216360001</v>
      </c>
      <c r="I44" s="63">
        <f t="shared" si="11"/>
        <v>3.6525670103541762E-2</v>
      </c>
      <c r="J44" s="60">
        <f t="shared" si="6"/>
        <v>0.34570813323437216</v>
      </c>
      <c r="K44" s="10">
        <f t="shared" si="0"/>
        <v>0.20828904466294101</v>
      </c>
      <c r="L44" s="60">
        <f t="shared" si="7"/>
        <v>7.2007216803596105E-2</v>
      </c>
      <c r="N44" s="13">
        <f t="shared" si="8"/>
        <v>1728.5406661718607</v>
      </c>
      <c r="O44" s="11">
        <f>(SUM(L45:$L$79)*$N$1)</f>
        <v>1100.5185677038974</v>
      </c>
      <c r="P44" s="11">
        <f t="shared" si="9"/>
        <v>-360.03608401798078</v>
      </c>
      <c r="V44" s="65">
        <v>40</v>
      </c>
      <c r="W44" s="66">
        <f>Inputs!H47</f>
        <v>8.5899999999999995E-4</v>
      </c>
    </row>
    <row r="45" spans="1:23" x14ac:dyDescent="0.25">
      <c r="A45">
        <f t="shared" si="1"/>
        <v>95</v>
      </c>
      <c r="B45">
        <v>41</v>
      </c>
      <c r="C45" s="12">
        <f t="shared" si="2"/>
        <v>0.18526000000000001</v>
      </c>
      <c r="D45" s="61">
        <f t="shared" si="3"/>
        <v>0.81474000000000002</v>
      </c>
      <c r="E45" s="198">
        <f>IF(B45&lt;=$C$2,1,IF(B45=$C$2+1,PRODUCT($D$5:D45),E44*D45))</f>
        <v>0.15571058446576599</v>
      </c>
      <c r="F45" s="62">
        <f t="shared" si="4"/>
        <v>0.81474000000000002</v>
      </c>
      <c r="G45" s="198">
        <f>IF(B45&lt;=$C$2,1,IF(B45=$C$2+1,PRODUCT($F$5:F45),G44*F45))</f>
        <v>0.15571058446576599</v>
      </c>
      <c r="H45" s="63">
        <f t="shared" si="11"/>
        <v>0.66380126760000002</v>
      </c>
      <c r="I45" s="63">
        <f t="shared" si="11"/>
        <v>2.4245786114670445E-2</v>
      </c>
      <c r="J45" s="60">
        <f t="shared" si="6"/>
        <v>0.28717538281686156</v>
      </c>
      <c r="K45" s="10">
        <f t="shared" si="0"/>
        <v>0.20027792756052021</v>
      </c>
      <c r="L45" s="60">
        <f t="shared" si="7"/>
        <v>5.7514890516960057E-2</v>
      </c>
      <c r="N45" s="13">
        <f t="shared" si="8"/>
        <v>1435.8769140843078</v>
      </c>
      <c r="O45" s="11">
        <f>(SUM(L46:$L$79)*$N$1)</f>
        <v>812.94411511909709</v>
      </c>
      <c r="P45" s="11">
        <f t="shared" si="9"/>
        <v>-287.57445258480027</v>
      </c>
      <c r="V45" s="65">
        <v>41</v>
      </c>
      <c r="W45" s="66">
        <f>Inputs!H48</f>
        <v>9.2599999999999996E-4</v>
      </c>
    </row>
    <row r="46" spans="1:23" x14ac:dyDescent="0.25">
      <c r="A46">
        <f t="shared" si="1"/>
        <v>96</v>
      </c>
      <c r="B46">
        <v>42</v>
      </c>
      <c r="C46" s="12">
        <f t="shared" si="2"/>
        <v>0.197322</v>
      </c>
      <c r="D46" s="61">
        <f t="shared" si="3"/>
        <v>0.802678</v>
      </c>
      <c r="E46" s="198">
        <f>IF(B46&lt;=$C$2,1,IF(B46=$C$2+1,PRODUCT($D$5:D46),E45*D46))</f>
        <v>0.12498546051781212</v>
      </c>
      <c r="F46" s="62">
        <f t="shared" si="4"/>
        <v>0.802678</v>
      </c>
      <c r="G46" s="198">
        <f>IF(B46&lt;=$C$2,1,IF(B46=$C$2+1,PRODUCT($F$5:F46),G45*F46))</f>
        <v>0.12498546051781212</v>
      </c>
      <c r="H46" s="63">
        <f t="shared" si="11"/>
        <v>0.64429197168399999</v>
      </c>
      <c r="I46" s="63">
        <f t="shared" si="11"/>
        <v>1.5621365340849572E-2</v>
      </c>
      <c r="J46" s="60">
        <f t="shared" si="6"/>
        <v>0.23434955569477467</v>
      </c>
      <c r="K46" s="10">
        <f t="shared" si="0"/>
        <v>0.19257493034665407</v>
      </c>
      <c r="L46" s="60">
        <f t="shared" si="7"/>
        <v>4.5129849364690562E-2</v>
      </c>
      <c r="N46" s="13">
        <f t="shared" si="8"/>
        <v>1171.7477784738733</v>
      </c>
      <c r="O46" s="11">
        <f>(SUM(L47:$L$79)*$N$1)</f>
        <v>587.29486829564428</v>
      </c>
      <c r="P46" s="11">
        <f t="shared" si="9"/>
        <v>-225.64924682345281</v>
      </c>
      <c r="V46" s="65">
        <v>42</v>
      </c>
      <c r="W46" s="66">
        <f>Inputs!H49</f>
        <v>9.990000000000001E-4</v>
      </c>
    </row>
    <row r="47" spans="1:23" x14ac:dyDescent="0.25">
      <c r="A47">
        <f t="shared" si="1"/>
        <v>97</v>
      </c>
      <c r="B47">
        <v>43</v>
      </c>
      <c r="C47" s="12">
        <f t="shared" si="2"/>
        <v>0.214751</v>
      </c>
      <c r="D47" s="61">
        <f t="shared" si="3"/>
        <v>0.78524899999999997</v>
      </c>
      <c r="E47" s="198">
        <f>IF(B47&lt;=$C$2,1,IF(B47=$C$2+1,PRODUCT($D$5:D47),E46*D47))</f>
        <v>9.8144707886151442E-2</v>
      </c>
      <c r="F47" s="62">
        <f t="shared" si="4"/>
        <v>0.78524899999999997</v>
      </c>
      <c r="G47" s="198">
        <f>IF(B47&lt;=$C$2,1,IF(B47=$C$2+1,PRODUCT($F$5:F47),G46*F47))</f>
        <v>9.8144707886151442E-2</v>
      </c>
      <c r="H47" s="63">
        <f t="shared" si="11"/>
        <v>0.61661599200099992</v>
      </c>
      <c r="I47" s="63">
        <f t="shared" si="11"/>
        <v>9.6323836860579964E-3</v>
      </c>
      <c r="J47" s="60">
        <f t="shared" si="6"/>
        <v>0.1866570320862449</v>
      </c>
      <c r="K47" s="10">
        <f t="shared" si="0"/>
        <v>0.18516820225639813</v>
      </c>
      <c r="L47" s="60">
        <f t="shared" si="7"/>
        <v>3.4562947069924792E-2</v>
      </c>
      <c r="N47" s="13">
        <f t="shared" si="8"/>
        <v>933.28516043122454</v>
      </c>
      <c r="O47" s="11">
        <f>(SUM(L48:$L$79)*$N$1)</f>
        <v>414.48013294602032</v>
      </c>
      <c r="P47" s="11">
        <f t="shared" si="9"/>
        <v>-172.81473534962396</v>
      </c>
      <c r="V47" s="65">
        <v>43</v>
      </c>
      <c r="W47" s="66">
        <f>Inputs!H50</f>
        <v>1.0690000000000001E-3</v>
      </c>
    </row>
    <row r="48" spans="1:23" x14ac:dyDescent="0.25">
      <c r="A48">
        <f t="shared" si="1"/>
        <v>98</v>
      </c>
      <c r="B48">
        <v>44</v>
      </c>
      <c r="C48" s="12">
        <f t="shared" si="2"/>
        <v>0.23250699999999999</v>
      </c>
      <c r="D48" s="61">
        <f t="shared" si="3"/>
        <v>0.76749299999999998</v>
      </c>
      <c r="E48" s="198">
        <f>IF(B48&lt;=$C$2,1,IF(B48=$C$2+1,PRODUCT($D$5:D48),E47*D48))</f>
        <v>7.5325376289666027E-2</v>
      </c>
      <c r="F48" s="62">
        <f t="shared" si="4"/>
        <v>0.76749299999999998</v>
      </c>
      <c r="G48" s="198">
        <f>IF(B48&lt;=$C$2,1,IF(B48=$C$2+1,PRODUCT($F$5:F48),G47*F48))</f>
        <v>7.5325376289666027E-2</v>
      </c>
      <c r="H48" s="63">
        <f t="shared" si="11"/>
        <v>0.589045505049</v>
      </c>
      <c r="I48" s="63">
        <f t="shared" si="11"/>
        <v>5.6739123131797804E-3</v>
      </c>
      <c r="J48" s="60">
        <f t="shared" si="6"/>
        <v>0.14497684026615226</v>
      </c>
      <c r="K48" s="10">
        <f t="shared" si="0"/>
        <v>0.17804634832345972</v>
      </c>
      <c r="L48" s="60">
        <f t="shared" si="7"/>
        <v>2.5812597000861928E-2</v>
      </c>
      <c r="N48" s="13">
        <f t="shared" si="8"/>
        <v>724.88420133076136</v>
      </c>
      <c r="O48" s="11">
        <f>(SUM(L49:$L$79)*$N$1)</f>
        <v>285.41714794171065</v>
      </c>
      <c r="P48" s="11">
        <f t="shared" si="9"/>
        <v>-129.06298500430967</v>
      </c>
      <c r="V48" s="65">
        <v>44</v>
      </c>
      <c r="W48" s="66">
        <f>Inputs!H51</f>
        <v>1.142E-3</v>
      </c>
    </row>
    <row r="49" spans="1:23" x14ac:dyDescent="0.25">
      <c r="A49">
        <f t="shared" si="1"/>
        <v>99</v>
      </c>
      <c r="B49">
        <v>45</v>
      </c>
      <c r="C49" s="12">
        <f t="shared" si="2"/>
        <v>0.25039699999999998</v>
      </c>
      <c r="D49" s="61">
        <f t="shared" si="3"/>
        <v>0.74960300000000002</v>
      </c>
      <c r="E49" s="198">
        <f>IF(B49&lt;=$C$2,1,IF(B49=$C$2+1,PRODUCT($D$5:D49),E48*D49))</f>
        <v>5.6464128042862521E-2</v>
      </c>
      <c r="F49" s="62">
        <f t="shared" si="4"/>
        <v>0.74960300000000002</v>
      </c>
      <c r="G49" s="198">
        <f>IF(B49&lt;=$C$2,1,IF(B49=$C$2+1,PRODUCT($F$5:F49),G48*F49))</f>
        <v>5.6464128042862521E-2</v>
      </c>
      <c r="H49" s="63">
        <f t="shared" si="11"/>
        <v>0.56190465760899999</v>
      </c>
      <c r="I49" s="63">
        <f t="shared" si="11"/>
        <v>3.1881977556407737E-3</v>
      </c>
      <c r="J49" s="60">
        <f t="shared" si="6"/>
        <v>0.10974005833008427</v>
      </c>
      <c r="K49" s="10">
        <f t="shared" si="0"/>
        <v>0.17119841184948048</v>
      </c>
      <c r="L49" s="60">
        <f t="shared" si="7"/>
        <v>1.8787323702379777E-2</v>
      </c>
      <c r="N49" s="13">
        <f t="shared" si="8"/>
        <v>548.70029165042138</v>
      </c>
      <c r="O49" s="11">
        <f>(SUM(L50:$L$79)*$N$1)</f>
        <v>191.48052942981178</v>
      </c>
      <c r="P49" s="11">
        <f t="shared" si="9"/>
        <v>-93.936618511898871</v>
      </c>
      <c r="V49" s="65">
        <v>45</v>
      </c>
      <c r="W49" s="66">
        <f>Inputs!H52</f>
        <v>1.219E-3</v>
      </c>
    </row>
    <row r="50" spans="1:23" x14ac:dyDescent="0.25">
      <c r="A50">
        <f t="shared" si="1"/>
        <v>100</v>
      </c>
      <c r="B50">
        <v>46</v>
      </c>
      <c r="C50" s="12">
        <f t="shared" si="2"/>
        <v>0.26860699999999998</v>
      </c>
      <c r="D50" s="61">
        <f t="shared" si="3"/>
        <v>0.73139299999999996</v>
      </c>
      <c r="E50" s="198">
        <f>IF(B50&lt;=$C$2,1,IF(B50=$C$2+1,PRODUCT($D$5:D50),E49*D50))</f>
        <v>4.1297468001653348E-2</v>
      </c>
      <c r="F50" s="62">
        <f t="shared" si="4"/>
        <v>0.73139299999999996</v>
      </c>
      <c r="G50" s="198">
        <f>IF(B50&lt;=$C$2,1,IF(B50=$C$2+1,PRODUCT($F$5:F50),G49*F50))</f>
        <v>4.1297468001653348E-2</v>
      </c>
      <c r="H50" s="63">
        <f t="shared" si="11"/>
        <v>0.53493572044899995</v>
      </c>
      <c r="I50" s="63">
        <f t="shared" si="11"/>
        <v>1.7054808633475821E-3</v>
      </c>
      <c r="J50" s="60">
        <f t="shared" si="6"/>
        <v>8.0889455139959113E-2</v>
      </c>
      <c r="K50" s="10">
        <f t="shared" si="0"/>
        <v>0.1646138575475774</v>
      </c>
      <c r="L50" s="60">
        <f t="shared" si="7"/>
        <v>1.3315525245510383E-2</v>
      </c>
      <c r="N50" s="13">
        <f t="shared" si="8"/>
        <v>404.44727569979557</v>
      </c>
      <c r="O50" s="11">
        <f>(SUM(L51:$L$79)*$N$1)</f>
        <v>124.90290320225986</v>
      </c>
      <c r="P50" s="11">
        <f t="shared" si="9"/>
        <v>-66.577626227551917</v>
      </c>
      <c r="V50" s="65">
        <v>46</v>
      </c>
      <c r="W50" s="66">
        <f>Inputs!H53</f>
        <v>1.3179999999999999E-3</v>
      </c>
    </row>
    <row r="51" spans="1:23" x14ac:dyDescent="0.25">
      <c r="A51">
        <f t="shared" si="1"/>
        <v>101</v>
      </c>
      <c r="B51">
        <v>47</v>
      </c>
      <c r="C51" s="12">
        <f t="shared" si="2"/>
        <v>0.290016</v>
      </c>
      <c r="D51" s="61">
        <f t="shared" si="3"/>
        <v>0.70998399999999995</v>
      </c>
      <c r="E51" s="198">
        <f>IF(B51&lt;=$C$2,1,IF(B51=$C$2+1,PRODUCT($D$5:D51),E50*D51))</f>
        <v>2.9320541521685849E-2</v>
      </c>
      <c r="F51" s="62">
        <f t="shared" si="4"/>
        <v>0.70998399999999995</v>
      </c>
      <c r="G51" s="198">
        <f>IF(B51&lt;=$C$2,1,IF(B51=$C$2+1,PRODUCT($F$5:F51),G50*F51))</f>
        <v>2.9320541521685849E-2</v>
      </c>
      <c r="H51" s="63">
        <f t="shared" si="11"/>
        <v>0.50407728025599996</v>
      </c>
      <c r="I51" s="63">
        <f t="shared" si="11"/>
        <v>8.5969415512490396E-4</v>
      </c>
      <c r="J51" s="60">
        <f t="shared" si="6"/>
        <v>5.7781388888246792E-2</v>
      </c>
      <c r="K51" s="10">
        <f t="shared" si="0"/>
        <v>0.15828255533420904</v>
      </c>
      <c r="L51" s="60">
        <f t="shared" si="7"/>
        <v>9.1457858839913749E-3</v>
      </c>
      <c r="N51" s="13">
        <f t="shared" si="8"/>
        <v>288.90694444123397</v>
      </c>
      <c r="O51" s="11">
        <f>(SUM(L52:$L$79)*$N$1)</f>
        <v>79.173973782302994</v>
      </c>
      <c r="P51" s="11">
        <f t="shared" si="9"/>
        <v>-45.72892941995687</v>
      </c>
      <c r="V51" s="65">
        <v>47</v>
      </c>
      <c r="W51" s="66">
        <f>Inputs!H54</f>
        <v>1.454E-3</v>
      </c>
    </row>
    <row r="52" spans="1:23" x14ac:dyDescent="0.25">
      <c r="A52">
        <f t="shared" si="1"/>
        <v>102</v>
      </c>
      <c r="B52">
        <v>48</v>
      </c>
      <c r="C52" s="12">
        <f t="shared" si="2"/>
        <v>0.31184899999999999</v>
      </c>
      <c r="D52" s="61">
        <f t="shared" si="3"/>
        <v>0.68815099999999996</v>
      </c>
      <c r="E52" s="198">
        <f>IF(B52&lt;=$C$2,1,IF(B52=$C$2+1,PRODUCT($D$5:D52),E51*D52))</f>
        <v>2.0176959968689637E-2</v>
      </c>
      <c r="F52" s="62">
        <f t="shared" si="4"/>
        <v>0.68815099999999996</v>
      </c>
      <c r="G52" s="198">
        <f>IF(B52&lt;=$C$2,1,IF(B52=$C$2+1,PRODUCT($F$5:F52),G51*F52))</f>
        <v>2.0176959968689637E-2</v>
      </c>
      <c r="H52" s="63">
        <f t="shared" si="11"/>
        <v>0.47355179880099996</v>
      </c>
      <c r="I52" s="63">
        <f t="shared" si="11"/>
        <v>4.0710971357810411E-4</v>
      </c>
      <c r="J52" s="60">
        <f t="shared" si="6"/>
        <v>3.9946810223801171E-2</v>
      </c>
      <c r="K52" s="10">
        <f t="shared" si="0"/>
        <v>0.15219476474443175</v>
      </c>
      <c r="L52" s="60">
        <f t="shared" si="7"/>
        <v>6.0796953843018807E-3</v>
      </c>
      <c r="N52" s="13">
        <f t="shared" si="8"/>
        <v>199.73405111900587</v>
      </c>
      <c r="O52" s="11">
        <f>(SUM(L53:$L$79)*$N$1)</f>
        <v>48.775496860793581</v>
      </c>
      <c r="P52" s="11">
        <f t="shared" si="9"/>
        <v>-30.398476921509413</v>
      </c>
      <c r="V52" s="65">
        <v>48</v>
      </c>
      <c r="W52" s="66">
        <f>Inputs!H55</f>
        <v>1.627E-3</v>
      </c>
    </row>
    <row r="53" spans="1:23" x14ac:dyDescent="0.25">
      <c r="A53">
        <f t="shared" si="1"/>
        <v>103</v>
      </c>
      <c r="B53">
        <v>49</v>
      </c>
      <c r="C53" s="12">
        <f t="shared" si="2"/>
        <v>0.33396199999999998</v>
      </c>
      <c r="D53" s="61">
        <f t="shared" si="3"/>
        <v>0.66603800000000002</v>
      </c>
      <c r="E53" s="198">
        <f>IF(B53&lt;=$C$2,1,IF(B53=$C$2+1,PRODUCT($D$5:D53),E52*D53))</f>
        <v>1.3438622063626109E-2</v>
      </c>
      <c r="F53" s="62">
        <f t="shared" si="4"/>
        <v>0.66603800000000002</v>
      </c>
      <c r="G53" s="198">
        <f>IF(B53&lt;=$C$2,1,IF(B53=$C$2+1,PRODUCT($F$5:F53),G52*F53))</f>
        <v>1.3438622063626109E-2</v>
      </c>
      <c r="H53" s="63">
        <f t="shared" si="11"/>
        <v>0.44360661744400004</v>
      </c>
      <c r="I53" s="63">
        <f t="shared" si="11"/>
        <v>1.8059656296897845E-4</v>
      </c>
      <c r="J53" s="60">
        <f t="shared" si="6"/>
        <v>2.6696647564283239E-2</v>
      </c>
      <c r="K53" s="10">
        <f t="shared" si="0"/>
        <v>0.14634111994656898</v>
      </c>
      <c r="L53" s="60">
        <f t="shared" si="7"/>
        <v>3.9068173033760516E-3</v>
      </c>
      <c r="N53" s="13">
        <f t="shared" si="8"/>
        <v>133.4832378214162</v>
      </c>
      <c r="O53" s="11">
        <f>(SUM(L54:$L$79)*$N$1)</f>
        <v>29.241410343913326</v>
      </c>
      <c r="P53" s="11">
        <f t="shared" si="9"/>
        <v>-19.534086516880254</v>
      </c>
      <c r="V53" s="65">
        <v>49</v>
      </c>
      <c r="W53" s="66">
        <f>Inputs!H56</f>
        <v>1.8289999999999999E-3</v>
      </c>
    </row>
    <row r="54" spans="1:23" x14ac:dyDescent="0.25">
      <c r="A54">
        <f t="shared" si="1"/>
        <v>104</v>
      </c>
      <c r="B54">
        <v>50</v>
      </c>
      <c r="C54" s="12">
        <f t="shared" si="2"/>
        <v>0.356207</v>
      </c>
      <c r="D54" s="61">
        <f t="shared" si="3"/>
        <v>0.64379300000000006</v>
      </c>
      <c r="E54" s="198">
        <f>IF(B54&lt;=$C$2,1,IF(B54=$C$2+1,PRODUCT($D$5:D54),E53*D54))</f>
        <v>8.6516908142080448E-3</v>
      </c>
      <c r="F54" s="62">
        <f t="shared" si="4"/>
        <v>0.64379300000000006</v>
      </c>
      <c r="G54" s="198">
        <f>IF(B54&lt;=$C$2,1,IF(B54=$C$2+1,PRODUCT($F$5:F54),G53*F54))</f>
        <v>8.6516908142080448E-3</v>
      </c>
      <c r="H54" s="63">
        <f t="shared" si="11"/>
        <v>0.41446942684900007</v>
      </c>
      <c r="I54" s="63">
        <f t="shared" si="11"/>
        <v>7.485175394465186E-5</v>
      </c>
      <c r="J54" s="60">
        <f t="shared" si="6"/>
        <v>1.7228529874471439E-2</v>
      </c>
      <c r="K54" s="10">
        <f t="shared" si="0"/>
        <v>0.14071261533323939</v>
      </c>
      <c r="L54" s="60">
        <f t="shared" si="7"/>
        <v>2.4242714969837228E-3</v>
      </c>
      <c r="N54" s="13">
        <f t="shared" si="8"/>
        <v>86.142649372357198</v>
      </c>
      <c r="O54" s="11">
        <f>(SUM(L55:$L$79)*$N$1)</f>
        <v>17.120052858994708</v>
      </c>
      <c r="P54" s="11">
        <f t="shared" si="9"/>
        <v>-12.121357484918619</v>
      </c>
      <c r="V54" s="65">
        <v>50</v>
      </c>
      <c r="W54" s="66">
        <f>Inputs!H57</f>
        <v>2.0569999999999998E-3</v>
      </c>
    </row>
    <row r="55" spans="1:23" x14ac:dyDescent="0.25">
      <c r="A55">
        <f t="shared" si="1"/>
        <v>105</v>
      </c>
      <c r="B55">
        <v>51</v>
      </c>
      <c r="C55" s="12">
        <f t="shared" si="2"/>
        <v>0.38</v>
      </c>
      <c r="D55" s="61">
        <f t="shared" si="3"/>
        <v>0.62</v>
      </c>
      <c r="E55" s="198">
        <f>IF(B55&lt;=$C$2,1,IF(B55=$C$2+1,PRODUCT($D$5:D55),E54*D55))</f>
        <v>5.3640483048089877E-3</v>
      </c>
      <c r="F55" s="62">
        <f t="shared" si="4"/>
        <v>0.62</v>
      </c>
      <c r="G55" s="198">
        <f>IF(B55&lt;=$C$2,1,IF(B55=$C$2+1,PRODUCT($F$5:F55),G54*F55))</f>
        <v>5.3640483048089877E-3</v>
      </c>
      <c r="H55" s="63">
        <f t="shared" si="11"/>
        <v>0.38440000000000002</v>
      </c>
      <c r="I55" s="63">
        <f t="shared" si="11"/>
        <v>2.8773014216324173E-5</v>
      </c>
      <c r="J55" s="60">
        <f t="shared" si="6"/>
        <v>1.0699323595401652E-2</v>
      </c>
      <c r="K55" s="10">
        <f t="shared" si="0"/>
        <v>0.13530059166657632</v>
      </c>
      <c r="L55" s="60">
        <f t="shared" si="7"/>
        <v>1.447624812890004E-3</v>
      </c>
      <c r="N55" s="13">
        <f t="shared" si="8"/>
        <v>53.496617977008256</v>
      </c>
      <c r="O55" s="11">
        <f>(SUM(L56:$L$79)*$N$1)</f>
        <v>9.8819287945446881</v>
      </c>
      <c r="P55" s="11">
        <f t="shared" si="9"/>
        <v>-7.2381240644500195</v>
      </c>
      <c r="V55" s="65">
        <v>51</v>
      </c>
      <c r="W55" s="66">
        <f>Inputs!H58</f>
        <v>2.3019999999999998E-3</v>
      </c>
    </row>
    <row r="56" spans="1:23" x14ac:dyDescent="0.25">
      <c r="A56">
        <f t="shared" si="1"/>
        <v>106</v>
      </c>
      <c r="B56">
        <v>52</v>
      </c>
      <c r="C56" s="12">
        <f t="shared" si="2"/>
        <v>0.4</v>
      </c>
      <c r="D56" s="61">
        <f t="shared" si="3"/>
        <v>0.6</v>
      </c>
      <c r="E56" s="198">
        <f>IF(B56&lt;=$C$2,1,IF(B56=$C$2+1,PRODUCT($D$5:D56),E55*D56))</f>
        <v>3.2184289828853926E-3</v>
      </c>
      <c r="F56" s="62">
        <f t="shared" si="4"/>
        <v>0.6</v>
      </c>
      <c r="G56" s="198">
        <f>IF(B56&lt;=$C$2,1,IF(B56=$C$2+1,PRODUCT($F$5:F56),G55*F56))</f>
        <v>3.2184289828853926E-3</v>
      </c>
      <c r="H56" s="63">
        <f t="shared" si="11"/>
        <v>0.36</v>
      </c>
      <c r="I56" s="63">
        <f t="shared" si="11"/>
        <v>1.0358285117876703E-5</v>
      </c>
      <c r="J56" s="60">
        <f t="shared" si="6"/>
        <v>6.4264996806529086E-3</v>
      </c>
      <c r="K56" s="10">
        <f t="shared" si="0"/>
        <v>0.13009672275632339</v>
      </c>
      <c r="L56" s="60">
        <f t="shared" si="7"/>
        <v>8.3606654724750231E-4</v>
      </c>
      <c r="N56" s="13">
        <f t="shared" si="8"/>
        <v>32.132498403264542</v>
      </c>
      <c r="O56" s="11">
        <f>(SUM(L57:$L$79)*$N$1)</f>
        <v>5.7015960583071763</v>
      </c>
      <c r="P56" s="11">
        <f t="shared" si="9"/>
        <v>-4.1803327362375118</v>
      </c>
      <c r="V56" s="65">
        <v>52</v>
      </c>
      <c r="W56" s="66">
        <f>Inputs!H59</f>
        <v>2.545E-3</v>
      </c>
    </row>
    <row r="57" spans="1:23" x14ac:dyDescent="0.25">
      <c r="A57">
        <f t="shared" si="1"/>
        <v>107</v>
      </c>
      <c r="B57">
        <v>53</v>
      </c>
      <c r="C57" s="12">
        <f t="shared" si="2"/>
        <v>0.4</v>
      </c>
      <c r="D57" s="61">
        <f t="shared" si="3"/>
        <v>0.6</v>
      </c>
      <c r="E57" s="198">
        <f>IF(B57&lt;=$C$2,1,IF(B57=$C$2+1,PRODUCT($D$5:D57),E56*D57))</f>
        <v>1.9310573897312355E-3</v>
      </c>
      <c r="F57" s="62">
        <f t="shared" si="4"/>
        <v>0.6</v>
      </c>
      <c r="G57" s="198">
        <f>IF(B57&lt;=$C$2,1,IF(B57=$C$2+1,PRODUCT($F$5:F57),G56*F57))</f>
        <v>1.9310573897312355E-3</v>
      </c>
      <c r="H57" s="63">
        <f t="shared" si="11"/>
        <v>0.36</v>
      </c>
      <c r="I57" s="63">
        <f t="shared" si="11"/>
        <v>3.7289826424356127E-6</v>
      </c>
      <c r="J57" s="60">
        <f t="shared" si="6"/>
        <v>3.8583857968200355E-3</v>
      </c>
      <c r="K57" s="10">
        <f t="shared" si="0"/>
        <v>0.12509300265031092</v>
      </c>
      <c r="L57" s="60">
        <f t="shared" si="7"/>
        <v>4.8265706470753073E-4</v>
      </c>
      <c r="N57" s="13">
        <f t="shared" si="8"/>
        <v>19.291928984100178</v>
      </c>
      <c r="O57" s="11">
        <f>(SUM(L58:$L$79)*$N$1)</f>
        <v>3.2883107347695226</v>
      </c>
      <c r="P57" s="11">
        <f t="shared" si="9"/>
        <v>-2.4132853235376537</v>
      </c>
      <c r="V57" s="65">
        <v>53</v>
      </c>
      <c r="W57" s="66">
        <f>Inputs!H60</f>
        <v>2.7789999999999998E-3</v>
      </c>
    </row>
    <row r="58" spans="1:23" x14ac:dyDescent="0.25">
      <c r="A58">
        <f t="shared" si="1"/>
        <v>108</v>
      </c>
      <c r="B58">
        <v>54</v>
      </c>
      <c r="C58" s="12">
        <f t="shared" si="2"/>
        <v>0.4</v>
      </c>
      <c r="D58" s="61">
        <f t="shared" si="3"/>
        <v>0.6</v>
      </c>
      <c r="E58" s="198">
        <f>IF(B58&lt;=$C$2,1,IF(B58=$C$2+1,PRODUCT($D$5:D58),E57*D58))</f>
        <v>1.1586344338387412E-3</v>
      </c>
      <c r="F58" s="62">
        <f t="shared" si="4"/>
        <v>0.6</v>
      </c>
      <c r="G58" s="198">
        <f>IF(B58&lt;=$C$2,1,IF(B58=$C$2+1,PRODUCT($F$5:F58),G57*F58))</f>
        <v>1.1586344338387412E-3</v>
      </c>
      <c r="H58" s="63">
        <f t="shared" si="11"/>
        <v>0.36</v>
      </c>
      <c r="I58" s="63">
        <f t="shared" si="11"/>
        <v>1.3424337512768203E-6</v>
      </c>
      <c r="J58" s="60">
        <f t="shared" si="6"/>
        <v>2.3159264339262056E-3</v>
      </c>
      <c r="K58" s="10">
        <f t="shared" si="0"/>
        <v>0.12028173331760666</v>
      </c>
      <c r="L58" s="60">
        <f t="shared" si="7"/>
        <v>2.7856364570870765E-4</v>
      </c>
      <c r="N58" s="13">
        <f t="shared" si="8"/>
        <v>11.579632169631028</v>
      </c>
      <c r="O58" s="11">
        <f>(SUM(L59:$L$79)*$N$1)</f>
        <v>1.8954925062259849</v>
      </c>
      <c r="P58" s="11">
        <f t="shared" si="9"/>
        <v>-1.3928182285435378</v>
      </c>
      <c r="V58" s="65">
        <v>54</v>
      </c>
      <c r="W58" s="66">
        <f>Inputs!H61</f>
        <v>3.0109999999999998E-3</v>
      </c>
    </row>
    <row r="59" spans="1:23" x14ac:dyDescent="0.25">
      <c r="A59">
        <f t="shared" si="1"/>
        <v>109</v>
      </c>
      <c r="B59">
        <v>55</v>
      </c>
      <c r="C59" s="12">
        <f t="shared" si="2"/>
        <v>0.4</v>
      </c>
      <c r="D59" s="61">
        <f t="shared" si="3"/>
        <v>0.6</v>
      </c>
      <c r="E59" s="198">
        <f>IF(B59&lt;=$C$2,1,IF(B59=$C$2+1,PRODUCT($D$5:D59),E58*D59))</f>
        <v>6.9518066030324469E-4</v>
      </c>
      <c r="F59" s="62">
        <f t="shared" si="4"/>
        <v>0.6</v>
      </c>
      <c r="G59" s="198">
        <f>IF(B59&lt;=$C$2,1,IF(B59=$C$2+1,PRODUCT($F$5:F59),G58*F59))</f>
        <v>6.9518066030324469E-4</v>
      </c>
      <c r="H59" s="63">
        <f t="shared" si="11"/>
        <v>0.36</v>
      </c>
      <c r="I59" s="63">
        <f t="shared" si="11"/>
        <v>4.8327615045965533E-7</v>
      </c>
      <c r="J59" s="60">
        <f t="shared" si="6"/>
        <v>1.3898780444560298E-3</v>
      </c>
      <c r="K59" s="10">
        <f t="shared" si="0"/>
        <v>0.11565551280539103</v>
      </c>
      <c r="L59" s="60">
        <f t="shared" si="7"/>
        <v>1.607470579685162E-4</v>
      </c>
      <c r="N59" s="13">
        <f t="shared" si="8"/>
        <v>6.9493902222801491</v>
      </c>
      <c r="O59" s="11">
        <f>(SUM(L60:$L$79)*$N$1)</f>
        <v>1.0917572163834033</v>
      </c>
      <c r="P59" s="11">
        <f t="shared" si="9"/>
        <v>-0.80373528984258158</v>
      </c>
      <c r="V59" s="65">
        <v>55</v>
      </c>
      <c r="W59" s="66">
        <f>Inputs!H62</f>
        <v>3.2539999999999999E-3</v>
      </c>
    </row>
    <row r="60" spans="1:23" x14ac:dyDescent="0.25">
      <c r="A60">
        <f t="shared" si="1"/>
        <v>110</v>
      </c>
      <c r="B60">
        <v>56</v>
      </c>
      <c r="C60" s="12">
        <f t="shared" si="2"/>
        <v>0.4</v>
      </c>
      <c r="D60" s="61">
        <f t="shared" si="3"/>
        <v>0.6</v>
      </c>
      <c r="E60" s="198">
        <f>IF(B60&lt;=$C$2,1,IF(B60=$C$2+1,PRODUCT($D$5:D60),E59*D60))</f>
        <v>4.1710839618194681E-4</v>
      </c>
      <c r="F60" s="62">
        <f t="shared" si="4"/>
        <v>0.6</v>
      </c>
      <c r="G60" s="198">
        <f>IF(B60&lt;=$C$2,1,IF(B60=$C$2+1,PRODUCT($F$5:F60),G59*F60))</f>
        <v>4.1710839618194681E-4</v>
      </c>
      <c r="H60" s="63">
        <f t="shared" si="11"/>
        <v>0.36</v>
      </c>
      <c r="I60" s="63">
        <f t="shared" si="11"/>
        <v>1.739794141654759E-7</v>
      </c>
      <c r="J60" s="60">
        <f t="shared" si="6"/>
        <v>8.3404281294972816E-4</v>
      </c>
      <c r="K60" s="10">
        <f t="shared" si="0"/>
        <v>0.11120722385133754</v>
      </c>
      <c r="L60" s="60">
        <f t="shared" si="7"/>
        <v>9.275158580129966E-5</v>
      </c>
      <c r="N60" s="13">
        <f t="shared" si="8"/>
        <v>4.1702140647486408</v>
      </c>
      <c r="O60" s="11">
        <f>(SUM(L61:$L$79)*$N$1)</f>
        <v>0.62799928737690525</v>
      </c>
      <c r="P60" s="11">
        <f t="shared" si="9"/>
        <v>-0.46375792900649804</v>
      </c>
      <c r="V60" s="65">
        <v>56</v>
      </c>
      <c r="W60" s="66">
        <f>Inputs!H63</f>
        <v>3.529E-3</v>
      </c>
    </row>
    <row r="61" spans="1:23" x14ac:dyDescent="0.25">
      <c r="A61">
        <f t="shared" si="1"/>
        <v>111</v>
      </c>
      <c r="B61">
        <v>57</v>
      </c>
      <c r="C61" s="12">
        <f t="shared" si="2"/>
        <v>0.4</v>
      </c>
      <c r="D61" s="61">
        <f t="shared" si="3"/>
        <v>0.6</v>
      </c>
      <c r="E61" s="198">
        <f>IF(B61&lt;=$C$2,1,IF(B61=$C$2+1,PRODUCT($D$5:D61),E60*D61))</f>
        <v>2.5026503770916809E-4</v>
      </c>
      <c r="F61" s="62">
        <f t="shared" si="4"/>
        <v>0.6</v>
      </c>
      <c r="G61" s="198">
        <f>IF(B61&lt;=$C$2,1,IF(B61=$C$2+1,PRODUCT($F$5:F61),G60*F61))</f>
        <v>2.5026503770916809E-4</v>
      </c>
      <c r="H61" s="63">
        <f t="shared" si="11"/>
        <v>0.36</v>
      </c>
      <c r="I61" s="63">
        <f t="shared" si="11"/>
        <v>6.2632589099571324E-8</v>
      </c>
      <c r="J61" s="60">
        <f t="shared" si="6"/>
        <v>5.004674428292366E-4</v>
      </c>
      <c r="K61" s="10">
        <f t="shared" si="0"/>
        <v>0.10693002293397837</v>
      </c>
      <c r="L61" s="60">
        <f t="shared" si="7"/>
        <v>5.3514995139439775E-5</v>
      </c>
      <c r="N61" s="13">
        <f t="shared" si="8"/>
        <v>2.5023372141461828</v>
      </c>
      <c r="O61" s="11">
        <f>(SUM(L62:$L$79)*$N$1)</f>
        <v>0.36042431167970629</v>
      </c>
      <c r="P61" s="11">
        <f t="shared" si="9"/>
        <v>-0.26757497569719896</v>
      </c>
      <c r="V61" s="65">
        <v>57</v>
      </c>
      <c r="W61" s="66">
        <f>Inputs!H64</f>
        <v>3.8449999999999999E-3</v>
      </c>
    </row>
    <row r="62" spans="1:23" x14ac:dyDescent="0.25">
      <c r="A62">
        <f t="shared" si="1"/>
        <v>112</v>
      </c>
      <c r="B62">
        <v>58</v>
      </c>
      <c r="C62" s="12">
        <f t="shared" si="2"/>
        <v>0.4</v>
      </c>
      <c r="D62" s="61">
        <f t="shared" si="3"/>
        <v>0.6</v>
      </c>
      <c r="E62" s="198">
        <f>IF(B62&lt;=$C$2,1,IF(B62=$C$2+1,PRODUCT($D$5:D62),E61*D62))</f>
        <v>1.5015902262550086E-4</v>
      </c>
      <c r="F62" s="62">
        <f t="shared" si="4"/>
        <v>0.6</v>
      </c>
      <c r="G62" s="198">
        <f>IF(B62&lt;=$C$2,1,IF(B62=$C$2+1,PRODUCT($F$5:F62),G61*F62))</f>
        <v>1.5015902262550086E-4</v>
      </c>
      <c r="H62" s="63">
        <f t="shared" si="11"/>
        <v>0.36</v>
      </c>
      <c r="I62" s="63">
        <f t="shared" si="11"/>
        <v>2.2547732075845681E-8</v>
      </c>
      <c r="J62" s="60">
        <f t="shared" si="6"/>
        <v>3.0029549751892586E-4</v>
      </c>
      <c r="K62" s="10">
        <f t="shared" si="0"/>
        <v>0.10281732974420998</v>
      </c>
      <c r="L62" s="60">
        <f t="shared" si="7"/>
        <v>3.0875581189104992E-5</v>
      </c>
      <c r="N62" s="13">
        <f t="shared" si="8"/>
        <v>1.5014774875946293</v>
      </c>
      <c r="O62" s="11">
        <f>(SUM(L63:$L$79)*$N$1)</f>
        <v>0.20604640573418131</v>
      </c>
      <c r="P62" s="11">
        <f t="shared" si="9"/>
        <v>-0.15437790594552497</v>
      </c>
      <c r="V62" s="65">
        <v>58</v>
      </c>
      <c r="W62" s="66">
        <f>Inputs!H65</f>
        <v>4.2129999999999997E-3</v>
      </c>
    </row>
    <row r="63" spans="1:23" x14ac:dyDescent="0.25">
      <c r="A63">
        <f t="shared" si="1"/>
        <v>113</v>
      </c>
      <c r="B63">
        <v>59</v>
      </c>
      <c r="C63" s="12">
        <f t="shared" si="2"/>
        <v>0.4</v>
      </c>
      <c r="D63" s="61">
        <f t="shared" si="3"/>
        <v>0.6</v>
      </c>
      <c r="E63" s="198">
        <f>IF(B63&lt;=$C$2,1,IF(B63=$C$2+1,PRODUCT($D$5:D63),E62*D63))</f>
        <v>9.0095413575300509E-5</v>
      </c>
      <c r="F63" s="62">
        <f t="shared" si="4"/>
        <v>0.6</v>
      </c>
      <c r="G63" s="198">
        <f>IF(B63&lt;=$C$2,1,IF(B63=$C$2+1,PRODUCT($F$5:F63),G62*F63))</f>
        <v>9.0095413575300509E-5</v>
      </c>
      <c r="H63" s="63">
        <f t="shared" si="11"/>
        <v>0.36</v>
      </c>
      <c r="I63" s="63">
        <f t="shared" si="11"/>
        <v>8.117183547304444E-9</v>
      </c>
      <c r="J63" s="60">
        <f t="shared" si="6"/>
        <v>1.8018270996705371E-4</v>
      </c>
      <c r="K63" s="10">
        <f t="shared" si="0"/>
        <v>9.8862817061740368E-2</v>
      </c>
      <c r="L63" s="60">
        <f t="shared" si="7"/>
        <v>1.7813370293161453E-5</v>
      </c>
      <c r="N63" s="13">
        <f t="shared" si="8"/>
        <v>0.9009135498352685</v>
      </c>
      <c r="O63" s="11">
        <f>(SUM(L64:$L$79)*$N$1)</f>
        <v>0.11697955426837406</v>
      </c>
      <c r="P63" s="11">
        <f t="shared" si="9"/>
        <v>-8.9066851465807256E-2</v>
      </c>
      <c r="V63" s="65">
        <v>59</v>
      </c>
      <c r="W63" s="66">
        <f>Inputs!H66</f>
        <v>4.6309999999999997E-3</v>
      </c>
    </row>
    <row r="64" spans="1:23" x14ac:dyDescent="0.25">
      <c r="A64">
        <f t="shared" si="1"/>
        <v>114</v>
      </c>
      <c r="B64">
        <v>60</v>
      </c>
      <c r="C64" s="12">
        <f t="shared" si="2"/>
        <v>0.4</v>
      </c>
      <c r="D64" s="61">
        <f t="shared" si="3"/>
        <v>0.6</v>
      </c>
      <c r="E64" s="198">
        <f>IF(B64&lt;=$C$2,1,IF(B64=$C$2+1,PRODUCT($D$5:D64),E63*D64))</f>
        <v>5.4057248145180301E-5</v>
      </c>
      <c r="F64" s="62">
        <f t="shared" si="4"/>
        <v>0.6</v>
      </c>
      <c r="G64" s="198">
        <f>IF(B64&lt;=$C$2,1,IF(B64=$C$2+1,PRODUCT($F$5:F64),G63*F64))</f>
        <v>5.4057248145180301E-5</v>
      </c>
      <c r="H64" s="63">
        <f t="shared" si="11"/>
        <v>0.36</v>
      </c>
      <c r="I64" s="63">
        <f t="shared" si="11"/>
        <v>2.9221860770295991E-9</v>
      </c>
      <c r="J64" s="60">
        <f t="shared" si="6"/>
        <v>1.0811157410428357E-4</v>
      </c>
      <c r="K64" s="10">
        <f t="shared" si="0"/>
        <v>9.506040102090417E-2</v>
      </c>
      <c r="L64" s="60">
        <f t="shared" si="7"/>
        <v>1.0277129589354394E-5</v>
      </c>
      <c r="N64" s="13">
        <f t="shared" si="8"/>
        <v>0.5405578705214179</v>
      </c>
      <c r="O64" s="11">
        <f>(SUM(L65:$L$79)*$N$1)</f>
        <v>6.5593906321602086E-2</v>
      </c>
      <c r="P64" s="11">
        <f t="shared" si="9"/>
        <v>-5.1385647946771973E-2</v>
      </c>
      <c r="V64" s="65">
        <v>60</v>
      </c>
      <c r="W64" s="66">
        <f>Inputs!H67</f>
        <v>5.0959999999999998E-3</v>
      </c>
    </row>
    <row r="65" spans="1:23" x14ac:dyDescent="0.25">
      <c r="A65">
        <f t="shared" si="1"/>
        <v>115</v>
      </c>
      <c r="B65">
        <v>61</v>
      </c>
      <c r="C65" s="12">
        <f t="shared" si="2"/>
        <v>0.4</v>
      </c>
      <c r="D65" s="61">
        <f t="shared" si="3"/>
        <v>0.6</v>
      </c>
      <c r="E65" s="198">
        <f>IF(B65&lt;=$C$2,1,IF(B65=$C$2+1,PRODUCT($D$5:D65),E64*D65))</f>
        <v>3.2434348887108177E-5</v>
      </c>
      <c r="F65" s="62">
        <f t="shared" si="4"/>
        <v>0.6</v>
      </c>
      <c r="G65" s="198">
        <f>IF(B65&lt;=$C$2,1,IF(B65=$C$2+1,PRODUCT($F$5:F65),G64*F65))</f>
        <v>3.2434348887108177E-5</v>
      </c>
      <c r="H65" s="63">
        <f t="shared" si="11"/>
        <v>0.36</v>
      </c>
      <c r="I65" s="63">
        <f t="shared" si="11"/>
        <v>1.0519869877306555E-9</v>
      </c>
      <c r="J65" s="60">
        <f t="shared" si="6"/>
        <v>6.4867645787228625E-5</v>
      </c>
      <c r="K65" s="10">
        <f t="shared" si="0"/>
        <v>9.1404231750869397E-2</v>
      </c>
      <c r="L65" s="60">
        <f t="shared" si="7"/>
        <v>5.9291773286691525E-6</v>
      </c>
      <c r="N65" s="13">
        <f t="shared" si="8"/>
        <v>0.32433822893614311</v>
      </c>
      <c r="O65" s="11">
        <f>(SUM(L66:$L$79)*$N$1)</f>
        <v>3.5948019678256324E-2</v>
      </c>
      <c r="P65" s="11">
        <f t="shared" si="9"/>
        <v>-2.9645886643345762E-2</v>
      </c>
      <c r="V65" s="65">
        <v>61</v>
      </c>
      <c r="W65" s="66">
        <f>Inputs!H68</f>
        <v>5.6140000000000001E-3</v>
      </c>
    </row>
    <row r="66" spans="1:23" x14ac:dyDescent="0.25">
      <c r="A66">
        <f t="shared" si="1"/>
        <v>116</v>
      </c>
      <c r="B66">
        <v>62</v>
      </c>
      <c r="C66" s="12">
        <f t="shared" si="2"/>
        <v>0.4</v>
      </c>
      <c r="D66" s="61">
        <f t="shared" si="3"/>
        <v>0.6</v>
      </c>
      <c r="E66" s="198">
        <f>IF(B66&lt;=$C$2,1,IF(B66=$C$2+1,PRODUCT($D$5:D66),E65*D66))</f>
        <v>1.9460609332264905E-5</v>
      </c>
      <c r="F66" s="62">
        <f t="shared" si="4"/>
        <v>0.6</v>
      </c>
      <c r="G66" s="198">
        <f>IF(B66&lt;=$C$2,1,IF(B66=$C$2+1,PRODUCT($F$5:F66),G65*F66))</f>
        <v>1.9460609332264905E-5</v>
      </c>
      <c r="H66" s="63">
        <f t="shared" si="11"/>
        <v>0.36</v>
      </c>
      <c r="I66" s="63">
        <f t="shared" si="11"/>
        <v>3.787153155830359E-10</v>
      </c>
      <c r="J66" s="60">
        <f t="shared" si="6"/>
        <v>3.8920839949214227E-5</v>
      </c>
      <c r="K66" s="10">
        <f t="shared" si="0"/>
        <v>8.7888684375835968E-2</v>
      </c>
      <c r="L66" s="60">
        <f t="shared" si="7"/>
        <v>3.4207014179389166E-6</v>
      </c>
      <c r="N66" s="13">
        <f t="shared" si="8"/>
        <v>0.19460419974607113</v>
      </c>
      <c r="O66" s="11">
        <f>(SUM(L67:$L$79)*$N$1)</f>
        <v>1.8844512588561742E-2</v>
      </c>
      <c r="P66" s="11">
        <f t="shared" si="9"/>
        <v>-1.7103507089694582E-2</v>
      </c>
      <c r="V66" s="65">
        <v>62</v>
      </c>
      <c r="W66" s="66">
        <f>Inputs!H69</f>
        <v>6.169E-3</v>
      </c>
    </row>
    <row r="67" spans="1:23" x14ac:dyDescent="0.25">
      <c r="A67">
        <f t="shared" si="1"/>
        <v>117</v>
      </c>
      <c r="B67">
        <v>63</v>
      </c>
      <c r="C67" s="12">
        <f t="shared" si="2"/>
        <v>0.4</v>
      </c>
      <c r="D67" s="61">
        <f t="shared" si="3"/>
        <v>0.6</v>
      </c>
      <c r="E67" s="198">
        <f>IF(B67&lt;=$C$2,1,IF(B67=$C$2+1,PRODUCT($D$5:D67),E66*D67))</f>
        <v>1.1676365599358943E-5</v>
      </c>
      <c r="F67" s="62">
        <f t="shared" si="4"/>
        <v>0.6</v>
      </c>
      <c r="G67" s="198">
        <f>IF(B67&lt;=$C$2,1,IF(B67=$C$2+1,PRODUCT($F$5:F67),G66*F67))</f>
        <v>1.1676365599358943E-5</v>
      </c>
      <c r="H67" s="63">
        <f t="shared" si="11"/>
        <v>0.36</v>
      </c>
      <c r="I67" s="63">
        <f t="shared" si="11"/>
        <v>1.3633751360989293E-10</v>
      </c>
      <c r="J67" s="60">
        <f t="shared" si="6"/>
        <v>2.3352594861204277E-5</v>
      </c>
      <c r="K67" s="10">
        <f t="shared" si="0"/>
        <v>8.4508350361380741E-2</v>
      </c>
      <c r="L67" s="60">
        <f t="shared" si="7"/>
        <v>1.9734892683780307E-6</v>
      </c>
      <c r="N67" s="13">
        <f t="shared" si="8"/>
        <v>0.11676297430602138</v>
      </c>
      <c r="O67" s="11">
        <f>(SUM(L68:$L$79)*$N$1)</f>
        <v>8.9770662466715865E-3</v>
      </c>
      <c r="P67" s="11">
        <f t="shared" si="9"/>
        <v>-9.8674463418901553E-3</v>
      </c>
      <c r="V67" s="65">
        <v>63</v>
      </c>
      <c r="W67" s="66">
        <f>Inputs!H70</f>
        <v>6.7590000000000003E-3</v>
      </c>
    </row>
    <row r="68" spans="1:23" x14ac:dyDescent="0.25">
      <c r="A68">
        <f t="shared" si="1"/>
        <v>118</v>
      </c>
      <c r="B68">
        <v>64</v>
      </c>
      <c r="C68" s="12">
        <f t="shared" si="2"/>
        <v>0.4</v>
      </c>
      <c r="D68" s="61">
        <f t="shared" si="3"/>
        <v>0.6</v>
      </c>
      <c r="E68" s="198">
        <f>IF(B68&lt;=$C$2,1,IF(B68=$C$2+1,PRODUCT($D$5:D68),E67*D68))</f>
        <v>7.0058193596153656E-6</v>
      </c>
      <c r="F68" s="62">
        <f t="shared" si="4"/>
        <v>0.6</v>
      </c>
      <c r="G68" s="198">
        <f>IF(B68&lt;=$C$2,1,IF(B68=$C$2+1,PRODUCT($F$5:F68),G67*F68))</f>
        <v>7.0058193596153656E-6</v>
      </c>
      <c r="H68" s="63">
        <f t="shared" si="11"/>
        <v>0.36</v>
      </c>
      <c r="I68" s="63">
        <f t="shared" si="11"/>
        <v>4.9081504899561452E-11</v>
      </c>
      <c r="J68" s="60">
        <f t="shared" si="6"/>
        <v>1.4011589637725832E-5</v>
      </c>
      <c r="K68" s="10">
        <f t="shared" si="0"/>
        <v>8.1258029193635312E-2</v>
      </c>
      <c r="L68" s="60">
        <f t="shared" si="7"/>
        <v>1.1385541598315636E-6</v>
      </c>
      <c r="N68" s="13">
        <f t="shared" si="8"/>
        <v>7.0057948188629163E-2</v>
      </c>
      <c r="O68" s="11">
        <f>(SUM(L69:$L$79)*$N$1)</f>
        <v>3.2842954475137691E-3</v>
      </c>
      <c r="P68" s="11">
        <f t="shared" si="9"/>
        <v>-5.6927707991578178E-3</v>
      </c>
      <c r="V68" s="65">
        <v>64</v>
      </c>
      <c r="W68" s="66">
        <f>Inputs!H71</f>
        <v>7.3980000000000001E-3</v>
      </c>
    </row>
    <row r="69" spans="1:23" x14ac:dyDescent="0.25">
      <c r="A69">
        <f t="shared" si="1"/>
        <v>119</v>
      </c>
      <c r="B69">
        <v>65</v>
      </c>
      <c r="C69" s="12">
        <f t="shared" si="2"/>
        <v>0.4</v>
      </c>
      <c r="D69" s="61">
        <f t="shared" si="3"/>
        <v>0.6</v>
      </c>
      <c r="E69" s="198">
        <f>IF(B69&lt;=$C$2,1,IF(B69=$C$2+1,PRODUCT($D$5:D69),E68*D69))</f>
        <v>4.2034916157692188E-6</v>
      </c>
      <c r="F69" s="62">
        <f t="shared" si="4"/>
        <v>0.6</v>
      </c>
      <c r="G69" s="198">
        <f>IF(B69&lt;=$C$2,1,IF(B69=$C$2+1,PRODUCT($F$5:F69),G68*F69))</f>
        <v>4.2034916157692188E-6</v>
      </c>
      <c r="H69" s="63">
        <f t="shared" si="11"/>
        <v>0.36</v>
      </c>
      <c r="I69" s="63">
        <f t="shared" si="11"/>
        <v>1.7669341763842116E-11</v>
      </c>
      <c r="J69" s="60">
        <f t="shared" si="6"/>
        <v>8.4069655621966738E-6</v>
      </c>
      <c r="K69" s="10">
        <f t="shared" ref="K69:K70" si="12">IF(D69=0,0,(1+$K$2)^-B69)</f>
        <v>7.8132720378495488E-2</v>
      </c>
      <c r="L69" s="60">
        <f t="shared" si="7"/>
        <v>6.5685908950275381E-7</v>
      </c>
      <c r="N69" s="13">
        <f t="shared" si="8"/>
        <v>4.2034827810983368E-2</v>
      </c>
      <c r="O69" s="11">
        <f>(SUM(L70:$L$79)*$N$1)</f>
        <v>0</v>
      </c>
      <c r="P69" s="11">
        <f t="shared" si="9"/>
        <v>-3.2842954475137691E-3</v>
      </c>
      <c r="V69" s="65">
        <v>65</v>
      </c>
      <c r="W69" s="66">
        <f>Inputs!H72</f>
        <v>8.1060000000000004E-3</v>
      </c>
    </row>
    <row r="70" spans="1:23" x14ac:dyDescent="0.25">
      <c r="A70">
        <f t="shared" ref="A70" si="13">B70+$A$4</f>
        <v>120</v>
      </c>
      <c r="B70">
        <v>66</v>
      </c>
      <c r="C70" s="12">
        <f t="shared" ref="C70" si="14">VLOOKUP(A70,$V$4:$W$124,2,FALSE)</f>
        <v>1</v>
      </c>
      <c r="D70" s="61">
        <f t="shared" ref="D70" si="15">1-C70</f>
        <v>0</v>
      </c>
      <c r="E70" s="198">
        <f>IF(B70&lt;=$C$2,1,IF(B70=$C$2+1,PRODUCT($D$5:D70),E69*D70))</f>
        <v>0</v>
      </c>
      <c r="F70" s="62">
        <f t="shared" ref="F70" si="16">1-C70</f>
        <v>0</v>
      </c>
      <c r="G70" s="198">
        <f>IF(B70&lt;=$C$2,1,IF(B70=$C$2+1,PRODUCT($F$5:F70),G69*F70))</f>
        <v>0</v>
      </c>
      <c r="H70" s="63">
        <f t="shared" si="11"/>
        <v>0</v>
      </c>
      <c r="I70" s="63">
        <f t="shared" si="11"/>
        <v>0</v>
      </c>
      <c r="J70" s="60">
        <f t="shared" ref="J70" si="17">+E70+G70-I70</f>
        <v>0</v>
      </c>
      <c r="K70" s="10">
        <f t="shared" si="12"/>
        <v>0</v>
      </c>
      <c r="L70" s="60">
        <f t="shared" ref="L70" si="18">K70*J70</f>
        <v>0</v>
      </c>
      <c r="N70" s="13">
        <f t="shared" ref="N70" si="19">J70*$N$1</f>
        <v>0</v>
      </c>
      <c r="O70" s="11">
        <f>(SUM(L71:$L$79)*$N$1)</f>
        <v>0</v>
      </c>
      <c r="P70" s="11">
        <f t="shared" ref="P70" si="20">O70-O69</f>
        <v>0</v>
      </c>
      <c r="V70" s="65">
        <v>66</v>
      </c>
      <c r="W70" s="66">
        <f>Inputs!H73</f>
        <v>8.548E-3</v>
      </c>
    </row>
    <row r="71" spans="1:23" x14ac:dyDescent="0.25">
      <c r="C71" s="12"/>
      <c r="D71" s="10"/>
      <c r="E71" s="10"/>
      <c r="F71" s="10"/>
      <c r="G71" s="10"/>
      <c r="H71" s="10"/>
      <c r="I71" s="10"/>
      <c r="J71" s="10"/>
      <c r="K71" s="10"/>
      <c r="L71" s="10"/>
      <c r="N71" s="13"/>
      <c r="O71" s="11"/>
      <c r="P71" s="11"/>
      <c r="V71" s="65">
        <v>67</v>
      </c>
      <c r="W71" s="66">
        <f>Inputs!H74</f>
        <v>9.0760000000000007E-3</v>
      </c>
    </row>
    <row r="72" spans="1:23" x14ac:dyDescent="0.25">
      <c r="C72" s="12"/>
      <c r="D72" s="10"/>
      <c r="E72" s="10"/>
      <c r="F72" s="10"/>
      <c r="G72" s="10"/>
      <c r="H72" s="10"/>
      <c r="I72" s="10"/>
      <c r="J72" s="10"/>
      <c r="K72" s="10"/>
      <c r="L72" s="10"/>
      <c r="N72" s="13"/>
      <c r="O72" s="11"/>
      <c r="P72" s="11"/>
      <c r="V72" s="65">
        <v>68</v>
      </c>
      <c r="W72" s="66">
        <f>Inputs!H75</f>
        <v>9.7079999999999996E-3</v>
      </c>
    </row>
    <row r="73" spans="1:23" x14ac:dyDescent="0.25">
      <c r="C73" s="12"/>
      <c r="G73" s="10"/>
      <c r="H73" s="10"/>
      <c r="I73" s="10"/>
      <c r="J73" s="10"/>
      <c r="K73" s="10"/>
      <c r="L73" s="10"/>
      <c r="N73" s="13"/>
      <c r="O73" s="11"/>
      <c r="P73" s="11"/>
      <c r="V73" s="65">
        <v>69</v>
      </c>
      <c r="W73" s="66">
        <f>Inputs!H76</f>
        <v>1.0463E-2</v>
      </c>
    </row>
    <row r="74" spans="1:23" x14ac:dyDescent="0.25">
      <c r="C74" s="12"/>
      <c r="G74" s="10"/>
      <c r="H74" s="10"/>
      <c r="I74" s="10"/>
      <c r="J74" s="10"/>
      <c r="K74" s="10"/>
      <c r="L74" s="10"/>
      <c r="N74" s="13"/>
      <c r="O74" s="11"/>
      <c r="P74" s="11"/>
      <c r="V74" s="65">
        <v>70</v>
      </c>
      <c r="W74" s="66">
        <f>Inputs!H77</f>
        <v>1.1357000000000001E-2</v>
      </c>
    </row>
    <row r="75" spans="1:23" x14ac:dyDescent="0.25">
      <c r="C75" s="12"/>
      <c r="G75" s="10"/>
      <c r="H75" s="10"/>
      <c r="I75" s="10"/>
      <c r="J75" s="10"/>
      <c r="K75" s="10"/>
      <c r="L75" s="10"/>
      <c r="N75" s="13"/>
      <c r="O75" s="11"/>
      <c r="P75" s="11"/>
      <c r="V75" s="65">
        <v>71</v>
      </c>
      <c r="W75" s="66">
        <f>Inputs!H78</f>
        <v>1.2418E-2</v>
      </c>
    </row>
    <row r="76" spans="1:23" x14ac:dyDescent="0.25">
      <c r="C76" s="12"/>
      <c r="G76" s="10"/>
      <c r="H76" s="10"/>
      <c r="I76" s="10"/>
      <c r="J76" s="10"/>
      <c r="K76" s="10"/>
      <c r="L76" s="10"/>
      <c r="N76" s="13"/>
      <c r="O76" s="11"/>
      <c r="P76" s="11"/>
      <c r="V76" s="65">
        <v>72</v>
      </c>
      <c r="W76" s="66">
        <f>Inputs!H79</f>
        <v>1.3675E-2</v>
      </c>
    </row>
    <row r="77" spans="1:23" x14ac:dyDescent="0.25">
      <c r="C77" s="12"/>
      <c r="G77" s="10"/>
      <c r="H77" s="10"/>
      <c r="I77" s="10"/>
      <c r="J77" s="10"/>
      <c r="K77" s="10"/>
      <c r="L77" s="10"/>
      <c r="N77" s="13"/>
      <c r="O77" s="11"/>
      <c r="P77" s="11"/>
      <c r="V77" s="65">
        <v>73</v>
      </c>
      <c r="W77" s="66">
        <f>Inputs!H80</f>
        <v>1.515E-2</v>
      </c>
    </row>
    <row r="78" spans="1:23" x14ac:dyDescent="0.25">
      <c r="C78" s="12"/>
      <c r="G78" s="10"/>
      <c r="H78" s="10"/>
      <c r="I78" s="10"/>
      <c r="J78" s="10"/>
      <c r="K78" s="10"/>
      <c r="L78" s="10"/>
      <c r="N78" s="13"/>
      <c r="O78" s="11"/>
      <c r="P78" s="11"/>
      <c r="V78" s="65">
        <v>74</v>
      </c>
      <c r="W78" s="66">
        <f>Inputs!H81</f>
        <v>1.686E-2</v>
      </c>
    </row>
    <row r="79" spans="1:23" x14ac:dyDescent="0.25">
      <c r="C79" s="12"/>
      <c r="G79" s="10"/>
      <c r="H79" s="10"/>
      <c r="I79" s="10"/>
      <c r="J79" s="10"/>
      <c r="K79" s="10"/>
      <c r="L79" s="10"/>
      <c r="N79" s="13"/>
      <c r="O79" s="11"/>
      <c r="P79" s="11"/>
      <c r="V79" s="65">
        <v>75</v>
      </c>
      <c r="W79" s="66">
        <f>Inputs!H82</f>
        <v>1.8814999999999998E-2</v>
      </c>
    </row>
    <row r="80" spans="1:23" x14ac:dyDescent="0.25">
      <c r="C80" s="25"/>
      <c r="V80" s="65">
        <v>76</v>
      </c>
      <c r="W80" s="66">
        <f>Inputs!H83</f>
        <v>2.1031000000000001E-2</v>
      </c>
    </row>
    <row r="81" spans="3:23" x14ac:dyDescent="0.25">
      <c r="C81" s="25"/>
      <c r="V81" s="65">
        <v>77</v>
      </c>
      <c r="W81" s="66">
        <f>Inputs!H84</f>
        <v>2.3539999999999998E-2</v>
      </c>
    </row>
    <row r="82" spans="3:23" x14ac:dyDescent="0.25">
      <c r="C82" s="25"/>
      <c r="V82" s="65">
        <v>78</v>
      </c>
      <c r="W82" s="66">
        <f>Inputs!H85</f>
        <v>2.6374999999999999E-2</v>
      </c>
    </row>
    <row r="83" spans="3:23" x14ac:dyDescent="0.25">
      <c r="C83" s="25"/>
      <c r="V83" s="65">
        <v>79</v>
      </c>
      <c r="W83" s="66">
        <f>Inputs!H86</f>
        <v>2.9572000000000001E-2</v>
      </c>
    </row>
    <row r="84" spans="3:23" x14ac:dyDescent="0.25">
      <c r="C84" s="25"/>
      <c r="V84" s="65">
        <v>80</v>
      </c>
      <c r="W84" s="66">
        <f>Inputs!H87</f>
        <v>3.3234E-2</v>
      </c>
    </row>
    <row r="85" spans="3:23" x14ac:dyDescent="0.25">
      <c r="C85" s="25"/>
      <c r="V85" s="65">
        <v>81</v>
      </c>
      <c r="W85" s="66">
        <f>Inputs!H88</f>
        <v>3.7532999999999997E-2</v>
      </c>
    </row>
    <row r="86" spans="3:23" x14ac:dyDescent="0.25">
      <c r="C86" s="25"/>
      <c r="V86" s="65">
        <v>82</v>
      </c>
      <c r="W86" s="66">
        <f>Inputs!H89</f>
        <v>4.2261E-2</v>
      </c>
    </row>
    <row r="87" spans="3:23" x14ac:dyDescent="0.25">
      <c r="C87" s="25"/>
      <c r="V87" s="65">
        <v>83</v>
      </c>
      <c r="W87" s="66">
        <f>Inputs!H90</f>
        <v>4.7440999999999997E-2</v>
      </c>
    </row>
    <row r="88" spans="3:23" x14ac:dyDescent="0.25">
      <c r="C88" s="25"/>
      <c r="V88" s="65">
        <v>84</v>
      </c>
      <c r="W88" s="66">
        <f>Inputs!H91</f>
        <v>5.3233000000000003E-2</v>
      </c>
    </row>
    <row r="89" spans="3:23" x14ac:dyDescent="0.25">
      <c r="C89" s="25"/>
      <c r="V89" s="65">
        <v>85</v>
      </c>
      <c r="W89" s="66">
        <f>Inputs!H92</f>
        <v>5.9854999999999998E-2</v>
      </c>
    </row>
    <row r="90" spans="3:23" x14ac:dyDescent="0.25">
      <c r="C90" s="25"/>
      <c r="V90" s="65">
        <v>86</v>
      </c>
      <c r="W90" s="66">
        <f>Inputs!H93</f>
        <v>6.7514000000000005E-2</v>
      </c>
    </row>
    <row r="91" spans="3:23" x14ac:dyDescent="0.25">
      <c r="C91" s="25"/>
      <c r="V91" s="65">
        <v>87</v>
      </c>
      <c r="W91" s="66">
        <f>Inputs!H94</f>
        <v>7.6340000000000005E-2</v>
      </c>
    </row>
    <row r="92" spans="3:23" x14ac:dyDescent="0.25">
      <c r="C92" s="25"/>
      <c r="V92" s="65">
        <v>88</v>
      </c>
      <c r="W92" s="66">
        <f>Inputs!H95</f>
        <v>8.6388000000000006E-2</v>
      </c>
    </row>
    <row r="93" spans="3:23" x14ac:dyDescent="0.25">
      <c r="C93" s="25"/>
      <c r="V93" s="65">
        <v>89</v>
      </c>
      <c r="W93" s="66">
        <f>Inputs!H96</f>
        <v>9.7633999999999999E-2</v>
      </c>
    </row>
    <row r="94" spans="3:23" x14ac:dyDescent="0.25">
      <c r="C94" s="25"/>
      <c r="V94" s="65">
        <v>90</v>
      </c>
      <c r="W94" s="66">
        <f>Inputs!H97</f>
        <v>0.10999299999999999</v>
      </c>
    </row>
    <row r="95" spans="3:23" x14ac:dyDescent="0.25">
      <c r="C95" s="25"/>
      <c r="V95" s="65">
        <v>91</v>
      </c>
      <c r="W95" s="66">
        <f>Inputs!H98</f>
        <v>0.12311900000000001</v>
      </c>
    </row>
    <row r="96" spans="3:23" x14ac:dyDescent="0.25">
      <c r="C96" s="25"/>
      <c r="V96" s="65">
        <v>92</v>
      </c>
      <c r="W96" s="66">
        <f>Inputs!H99</f>
        <v>0.13716800000000001</v>
      </c>
    </row>
    <row r="97" spans="3:23" x14ac:dyDescent="0.25">
      <c r="C97" s="25"/>
      <c r="V97" s="65">
        <v>93</v>
      </c>
      <c r="W97" s="66">
        <f>Inputs!H100</f>
        <v>0.152171</v>
      </c>
    </row>
    <row r="98" spans="3:23" x14ac:dyDescent="0.25">
      <c r="C98" s="25"/>
      <c r="V98" s="65">
        <v>94</v>
      </c>
      <c r="W98" s="66">
        <f>Inputs!H101</f>
        <v>0.16819400000000001</v>
      </c>
    </row>
    <row r="99" spans="3:23" x14ac:dyDescent="0.25">
      <c r="C99" s="25"/>
      <c r="V99" s="65">
        <v>95</v>
      </c>
      <c r="W99" s="66">
        <f>Inputs!H102</f>
        <v>0.18526000000000001</v>
      </c>
    </row>
    <row r="100" spans="3:23" x14ac:dyDescent="0.25">
      <c r="C100" s="25"/>
      <c r="V100" s="65">
        <v>96</v>
      </c>
      <c r="W100" s="66">
        <f>Inputs!H103</f>
        <v>0.197322</v>
      </c>
    </row>
    <row r="101" spans="3:23" x14ac:dyDescent="0.25">
      <c r="C101" s="25"/>
      <c r="V101" s="65">
        <v>97</v>
      </c>
      <c r="W101" s="66">
        <f>Inputs!H104</f>
        <v>0.214751</v>
      </c>
    </row>
    <row r="102" spans="3:23" x14ac:dyDescent="0.25">
      <c r="C102" s="25"/>
      <c r="V102" s="65">
        <v>98</v>
      </c>
      <c r="W102" s="66">
        <f>Inputs!H105</f>
        <v>0.23250699999999999</v>
      </c>
    </row>
    <row r="103" spans="3:23" x14ac:dyDescent="0.25">
      <c r="C103" s="25"/>
      <c r="V103" s="65">
        <v>99</v>
      </c>
      <c r="W103" s="66">
        <f>Inputs!H106</f>
        <v>0.25039699999999998</v>
      </c>
    </row>
    <row r="104" spans="3:23" x14ac:dyDescent="0.25">
      <c r="C104" s="25"/>
      <c r="V104" s="65">
        <v>100</v>
      </c>
      <c r="W104" s="66">
        <f>Inputs!H107</f>
        <v>0.26860699999999998</v>
      </c>
    </row>
    <row r="105" spans="3:23" x14ac:dyDescent="0.25">
      <c r="C105" s="25"/>
      <c r="V105" s="65">
        <v>101</v>
      </c>
      <c r="W105" s="66">
        <f>Inputs!H108</f>
        <v>0.290016</v>
      </c>
    </row>
    <row r="106" spans="3:23" x14ac:dyDescent="0.25">
      <c r="C106" s="25"/>
      <c r="V106" s="65">
        <v>102</v>
      </c>
      <c r="W106" s="66">
        <f>Inputs!H109</f>
        <v>0.31184899999999999</v>
      </c>
    </row>
    <row r="107" spans="3:23" x14ac:dyDescent="0.25">
      <c r="C107" s="25"/>
      <c r="V107" s="65">
        <v>103</v>
      </c>
      <c r="W107" s="66">
        <f>Inputs!H110</f>
        <v>0.33396199999999998</v>
      </c>
    </row>
    <row r="108" spans="3:23" x14ac:dyDescent="0.25">
      <c r="C108" s="25"/>
      <c r="V108" s="65">
        <v>104</v>
      </c>
      <c r="W108" s="66">
        <f>Inputs!H111</f>
        <v>0.356207</v>
      </c>
    </row>
    <row r="109" spans="3:23" x14ac:dyDescent="0.25">
      <c r="C109" s="25"/>
      <c r="V109" s="65">
        <v>105</v>
      </c>
      <c r="W109" s="66">
        <f>Inputs!H112</f>
        <v>0.38</v>
      </c>
    </row>
    <row r="110" spans="3:23" x14ac:dyDescent="0.25">
      <c r="C110" s="25"/>
      <c r="V110" s="65">
        <v>106</v>
      </c>
      <c r="W110" s="66">
        <f>Inputs!H113</f>
        <v>0.4</v>
      </c>
    </row>
    <row r="111" spans="3:23" x14ac:dyDescent="0.25">
      <c r="C111" s="25"/>
      <c r="V111" s="65">
        <v>107</v>
      </c>
      <c r="W111" s="66">
        <f>Inputs!H114</f>
        <v>0.4</v>
      </c>
    </row>
    <row r="112" spans="3:23" x14ac:dyDescent="0.25">
      <c r="C112" s="25"/>
      <c r="V112" s="65">
        <v>108</v>
      </c>
      <c r="W112" s="66">
        <f>Inputs!H115</f>
        <v>0.4</v>
      </c>
    </row>
    <row r="113" spans="3:23" x14ac:dyDescent="0.25">
      <c r="C113" s="25"/>
      <c r="V113" s="65">
        <v>109</v>
      </c>
      <c r="W113" s="66">
        <f>Inputs!H116</f>
        <v>0.4</v>
      </c>
    </row>
    <row r="114" spans="3:23" x14ac:dyDescent="0.25">
      <c r="C114" s="25"/>
      <c r="V114" s="65">
        <v>110</v>
      </c>
      <c r="W114" s="66">
        <f>Inputs!H117</f>
        <v>0.4</v>
      </c>
    </row>
    <row r="115" spans="3:23" x14ac:dyDescent="0.25">
      <c r="C115" s="25"/>
      <c r="V115" s="65">
        <v>111</v>
      </c>
      <c r="W115" s="66">
        <f>Inputs!H118</f>
        <v>0.4</v>
      </c>
    </row>
    <row r="116" spans="3:23" x14ac:dyDescent="0.25">
      <c r="C116" s="25"/>
      <c r="V116" s="65">
        <v>112</v>
      </c>
      <c r="W116" s="66">
        <f>Inputs!H119</f>
        <v>0.4</v>
      </c>
    </row>
    <row r="117" spans="3:23" x14ac:dyDescent="0.25">
      <c r="C117" s="25"/>
      <c r="V117" s="65">
        <v>113</v>
      </c>
      <c r="W117" s="66">
        <f>Inputs!H120</f>
        <v>0.4</v>
      </c>
    </row>
    <row r="118" spans="3:23" x14ac:dyDescent="0.25">
      <c r="C118" s="25"/>
      <c r="V118" s="65">
        <v>114</v>
      </c>
      <c r="W118" s="66">
        <f>Inputs!H121</f>
        <v>0.4</v>
      </c>
    </row>
    <row r="119" spans="3:23" x14ac:dyDescent="0.25">
      <c r="C119" s="25"/>
      <c r="V119" s="65">
        <v>115</v>
      </c>
      <c r="W119" s="66">
        <f>Inputs!H122</f>
        <v>0.4</v>
      </c>
    </row>
    <row r="120" spans="3:23" x14ac:dyDescent="0.25">
      <c r="C120" s="25"/>
      <c r="V120" s="65">
        <v>116</v>
      </c>
      <c r="W120" s="66">
        <f>Inputs!H123</f>
        <v>0.4</v>
      </c>
    </row>
    <row r="121" spans="3:23" x14ac:dyDescent="0.25">
      <c r="C121" s="25"/>
      <c r="V121" s="65">
        <v>117</v>
      </c>
      <c r="W121" s="66">
        <f>Inputs!H124</f>
        <v>0.4</v>
      </c>
    </row>
    <row r="122" spans="3:23" x14ac:dyDescent="0.25">
      <c r="C122" s="25"/>
      <c r="V122" s="65">
        <v>118</v>
      </c>
      <c r="W122" s="66">
        <f>Inputs!H125</f>
        <v>0.4</v>
      </c>
    </row>
    <row r="123" spans="3:23" x14ac:dyDescent="0.25">
      <c r="C123" s="25"/>
      <c r="E123" s="35"/>
      <c r="F123" s="35"/>
      <c r="V123" s="65">
        <v>119</v>
      </c>
      <c r="W123" s="66">
        <f>Inputs!H126</f>
        <v>0.4</v>
      </c>
    </row>
    <row r="124" spans="3:23" ht="15.75" thickBot="1" x14ac:dyDescent="0.3">
      <c r="C124" s="25"/>
      <c r="E124" s="35"/>
      <c r="F124" s="35"/>
      <c r="V124" s="67">
        <v>120</v>
      </c>
      <c r="W124" s="66">
        <f>Inputs!H127</f>
        <v>1</v>
      </c>
    </row>
    <row r="125" spans="3:23" x14ac:dyDescent="0.25">
      <c r="C125" s="25"/>
      <c r="E125" s="35"/>
      <c r="F125" s="35"/>
    </row>
    <row r="126" spans="3:23" x14ac:dyDescent="0.25">
      <c r="C126" s="25"/>
      <c r="E126" s="35"/>
      <c r="F126" s="35"/>
    </row>
    <row r="127" spans="3:23" x14ac:dyDescent="0.25">
      <c r="C127" s="25"/>
      <c r="E127" s="35"/>
      <c r="F127" s="35"/>
    </row>
    <row r="128" spans="3:23" x14ac:dyDescent="0.25">
      <c r="C128" s="25"/>
      <c r="E128" s="35"/>
      <c r="F128" s="35"/>
    </row>
    <row r="129" spans="3:6" x14ac:dyDescent="0.25">
      <c r="C129" s="25"/>
      <c r="E129" s="35"/>
      <c r="F129" s="35"/>
    </row>
    <row r="130" spans="3:6" x14ac:dyDescent="0.25">
      <c r="C130" s="25"/>
    </row>
    <row r="131" spans="3:6" x14ac:dyDescent="0.25">
      <c r="C131" s="25"/>
    </row>
    <row r="132" spans="3:6" x14ac:dyDescent="0.25">
      <c r="C132" s="25"/>
    </row>
    <row r="133" spans="3:6" x14ac:dyDescent="0.25">
      <c r="C133" s="25"/>
    </row>
    <row r="134" spans="3:6" x14ac:dyDescent="0.25">
      <c r="C134" s="25"/>
    </row>
    <row r="135" spans="3:6" x14ac:dyDescent="0.25">
      <c r="C135" s="25"/>
    </row>
    <row r="136" spans="3:6" x14ac:dyDescent="0.25">
      <c r="C136" s="25"/>
    </row>
    <row r="137" spans="3:6" x14ac:dyDescent="0.25">
      <c r="C137" s="25"/>
    </row>
    <row r="138" spans="3:6" x14ac:dyDescent="0.25">
      <c r="C138" s="25"/>
    </row>
    <row r="139" spans="3:6" x14ac:dyDescent="0.25">
      <c r="C139" s="25"/>
    </row>
    <row r="140" spans="3:6" x14ac:dyDescent="0.25">
      <c r="C140" s="25"/>
    </row>
    <row r="141" spans="3:6" x14ac:dyDescent="0.25">
      <c r="C141" s="25"/>
    </row>
    <row r="142" spans="3:6" x14ac:dyDescent="0.25">
      <c r="C142" s="25"/>
    </row>
    <row r="143" spans="3:6" x14ac:dyDescent="0.25">
      <c r="C143" s="25"/>
    </row>
    <row r="144" spans="3:6"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70">
    <cfRule type="cellIs" dxfId="5" priority="2" operator="equal">
      <formula>1</formula>
    </cfRule>
  </conditionalFormatting>
  <conditionalFormatting sqref="G5:G70">
    <cfRule type="cellIs" dxfId="4" priority="1" operator="equal">
      <formula>1</formula>
    </cfRule>
  </conditionalFormatting>
  <hyperlinks>
    <hyperlink ref="O1" location="'Read Me'!A1" display="Return to 'Read Me'"/>
    <hyperlink ref="O2" location="Summary!A1" display="Return to 'Summary'"/>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4"/>
  <sheetViews>
    <sheetView topLeftCell="A112" workbookViewId="0">
      <selection activeCell="C125" sqref="C125:E132"/>
    </sheetView>
  </sheetViews>
  <sheetFormatPr defaultRowHeight="15" x14ac:dyDescent="0.25"/>
  <cols>
    <col min="1" max="1" width="4.375" bestFit="1" customWidth="1"/>
    <col min="3" max="5" width="10" bestFit="1" customWidth="1"/>
    <col min="6" max="10" width="10" customWidth="1"/>
    <col min="11" max="12" width="10" bestFit="1" customWidth="1"/>
    <col min="13" max="13" width="3.75" customWidth="1"/>
    <col min="14" max="15" width="13.25" customWidth="1"/>
    <col min="17" max="17" width="12" customWidth="1"/>
    <col min="18" max="18" width="11.625" bestFit="1" customWidth="1"/>
    <col min="19" max="19" width="11.625" customWidth="1"/>
    <col min="20" max="20" width="7.125" bestFit="1" customWidth="1"/>
    <col min="21" max="21" width="4.75" customWidth="1"/>
  </cols>
  <sheetData>
    <row r="1" spans="1:23" x14ac:dyDescent="0.25">
      <c r="B1" t="s">
        <v>157</v>
      </c>
      <c r="N1" s="3">
        <v>5000</v>
      </c>
      <c r="O1" s="181" t="s">
        <v>173</v>
      </c>
      <c r="Q1" s="1"/>
      <c r="R1" s="4"/>
      <c r="S1" s="4"/>
      <c r="T1" s="4"/>
      <c r="U1" s="4"/>
      <c r="V1" s="64"/>
      <c r="W1" s="28"/>
    </row>
    <row r="2" spans="1:23" ht="15.75" customHeight="1" thickBot="1" x14ac:dyDescent="0.3">
      <c r="B2" t="s">
        <v>227</v>
      </c>
      <c r="C2">
        <v>15</v>
      </c>
      <c r="D2" s="29" t="s">
        <v>52</v>
      </c>
      <c r="F2" s="29" t="s">
        <v>53</v>
      </c>
      <c r="H2" s="29"/>
      <c r="J2" s="14" t="s">
        <v>59</v>
      </c>
      <c r="K2" s="5">
        <f>Inputs!B6</f>
        <v>0.04</v>
      </c>
      <c r="O2" s="166" t="s">
        <v>174</v>
      </c>
      <c r="Q2" s="6"/>
      <c r="R2" s="4"/>
      <c r="S2" s="4"/>
      <c r="T2" s="4"/>
      <c r="U2" s="4"/>
      <c r="V2" s="172" t="s">
        <v>160</v>
      </c>
      <c r="W2" s="28"/>
    </row>
    <row r="3" spans="1:23" ht="45" x14ac:dyDescent="0.25">
      <c r="A3" s="7" t="s">
        <v>19</v>
      </c>
      <c r="B3" s="7" t="s">
        <v>7</v>
      </c>
      <c r="C3" s="8" t="s">
        <v>20</v>
      </c>
      <c r="D3" s="55" t="s">
        <v>21</v>
      </c>
      <c r="E3" s="55" t="s">
        <v>22</v>
      </c>
      <c r="F3" s="56" t="s">
        <v>54</v>
      </c>
      <c r="G3" s="56" t="s">
        <v>55</v>
      </c>
      <c r="H3" s="57" t="s">
        <v>56</v>
      </c>
      <c r="I3" s="57" t="s">
        <v>57</v>
      </c>
      <c r="J3" s="58" t="s">
        <v>58</v>
      </c>
      <c r="K3" s="7" t="s">
        <v>11</v>
      </c>
      <c r="L3" s="58" t="s">
        <v>12</v>
      </c>
      <c r="N3" s="7" t="s">
        <v>13</v>
      </c>
      <c r="O3" s="7" t="s">
        <v>14</v>
      </c>
      <c r="Q3" s="7" t="s">
        <v>15</v>
      </c>
      <c r="R3" s="59">
        <f>+SUMPRODUCT(B5:B70,N5:N70,K5:K70)/SUMPRODUCT(K5:K70,N5:N70)</f>
        <v>14.570449872286655</v>
      </c>
      <c r="S3" s="10"/>
      <c r="T3" s="10"/>
      <c r="U3" s="10"/>
      <c r="V3" s="31"/>
      <c r="W3" s="32"/>
    </row>
    <row r="4" spans="1:23" x14ac:dyDescent="0.25">
      <c r="A4">
        <v>54</v>
      </c>
      <c r="B4">
        <v>0</v>
      </c>
      <c r="C4" s="8"/>
      <c r="D4" s="55"/>
      <c r="E4" s="55"/>
      <c r="F4" s="56"/>
      <c r="G4" s="56"/>
      <c r="H4" s="57"/>
      <c r="I4" s="57"/>
      <c r="J4" s="58"/>
      <c r="K4" s="7"/>
      <c r="L4" s="60">
        <v>1</v>
      </c>
      <c r="O4" s="11">
        <f>(SUM(L5:$L$79)*$N$1)</f>
        <v>93704.817106933027</v>
      </c>
      <c r="Q4" s="14"/>
      <c r="R4" s="14"/>
      <c r="S4" s="14"/>
      <c r="T4" s="14"/>
      <c r="V4" s="65">
        <v>0</v>
      </c>
      <c r="W4" s="66">
        <f>Inputs!H7</f>
        <v>1.6050000000000001E-3</v>
      </c>
    </row>
    <row r="5" spans="1:23" ht="15.75" thickBot="1" x14ac:dyDescent="0.3">
      <c r="A5">
        <f>B5+$A$4</f>
        <v>55</v>
      </c>
      <c r="B5">
        <v>1</v>
      </c>
      <c r="C5" s="12">
        <f>VLOOKUP(A5,$V$4:$W$124,2,FALSE)</f>
        <v>3.2539999999999999E-3</v>
      </c>
      <c r="D5" s="61">
        <f>1-C5</f>
        <v>0.99674600000000002</v>
      </c>
      <c r="E5" s="198">
        <f>IF(B5&lt;=$C$2,1,IF(B5=$C$2+1,PRODUCT($D$5:D5),E4*D5))</f>
        <v>1</v>
      </c>
      <c r="F5" s="62">
        <f>1-C5</f>
        <v>0.99674600000000002</v>
      </c>
      <c r="G5" s="198">
        <f>IF(B5&lt;=$C$2,1,IF(B5=$C$2+1,PRODUCT($F$5:F5),G4*F5))</f>
        <v>1</v>
      </c>
      <c r="H5" s="63">
        <f>+D5*F5</f>
        <v>0.99350258851600004</v>
      </c>
      <c r="I5" s="63">
        <f>+E5*G5</f>
        <v>1</v>
      </c>
      <c r="J5" s="60">
        <f>+E5+G5-I5</f>
        <v>1</v>
      </c>
      <c r="K5" s="10">
        <f t="shared" ref="K5:K68" si="0">IF(D5=0,0,(1+$K$2)^-B5)</f>
        <v>0.96153846153846145</v>
      </c>
      <c r="L5" s="60">
        <f>K5*J5</f>
        <v>0.96153846153846145</v>
      </c>
      <c r="N5" s="13">
        <f>J5*$N$1</f>
        <v>5000</v>
      </c>
      <c r="O5" s="11">
        <f>(SUM(L6:$L$79)*$N$1)</f>
        <v>88897.12479924073</v>
      </c>
      <c r="P5" s="11">
        <f>O5-O4</f>
        <v>-4807.6923076922976</v>
      </c>
      <c r="Q5" s="14" t="s">
        <v>16</v>
      </c>
      <c r="R5" s="14" t="s">
        <v>17</v>
      </c>
      <c r="S5" s="14" t="s">
        <v>18</v>
      </c>
      <c r="T5" s="14" t="s">
        <v>47</v>
      </c>
      <c r="V5" s="65">
        <v>1</v>
      </c>
      <c r="W5" s="66">
        <f>Inputs!H8</f>
        <v>4.0099999999999999E-4</v>
      </c>
    </row>
    <row r="6" spans="1:23" x14ac:dyDescent="0.25">
      <c r="A6">
        <f t="shared" ref="A6:A69" si="1">B6+$A$4</f>
        <v>56</v>
      </c>
      <c r="B6">
        <v>2</v>
      </c>
      <c r="C6" s="12">
        <f t="shared" ref="C6:C69" si="2">VLOOKUP(A6,$V$4:$W$124,2,FALSE)</f>
        <v>3.529E-3</v>
      </c>
      <c r="D6" s="61">
        <f t="shared" ref="D6:D69" si="3">1-C6</f>
        <v>0.996471</v>
      </c>
      <c r="E6" s="198">
        <f>IF(B6&lt;=$C$2,1,IF(B6=$C$2+1,PRODUCT($D$5:D6),E5*D6))</f>
        <v>1</v>
      </c>
      <c r="F6" s="62">
        <f t="shared" ref="F6:F69" si="4">1-C6</f>
        <v>0.996471</v>
      </c>
      <c r="G6" s="198">
        <f>IF(B6&lt;=$C$2,1,IF(B6=$C$2+1,PRODUCT($F$5:F6),G5*F6))</f>
        <v>1</v>
      </c>
      <c r="H6" s="63">
        <f t="shared" ref="H6:I34" si="5">+D6*F6</f>
        <v>0.99295445384100001</v>
      </c>
      <c r="I6" s="63">
        <f t="shared" si="5"/>
        <v>1</v>
      </c>
      <c r="J6" s="60">
        <f t="shared" ref="J6:J69" si="6">+E6+G6-I6</f>
        <v>1</v>
      </c>
      <c r="K6" s="10">
        <f t="shared" si="0"/>
        <v>0.92455621301775137</v>
      </c>
      <c r="L6" s="60">
        <f t="shared" ref="L6:L69" si="7">K6*J6</f>
        <v>0.92455621301775137</v>
      </c>
      <c r="N6" s="13">
        <f t="shared" ref="N6:N69" si="8">J6*$N$1</f>
        <v>5000</v>
      </c>
      <c r="O6" s="11">
        <f>(SUM(L7:$L$79)*$N$1)</f>
        <v>84274.343734151989</v>
      </c>
      <c r="P6" s="11">
        <f t="shared" ref="P6:P69" si="9">O6-O5</f>
        <v>-4622.7810650887404</v>
      </c>
      <c r="Q6" s="14">
        <v>2</v>
      </c>
      <c r="R6" s="54" t="s">
        <v>44</v>
      </c>
      <c r="S6" s="15">
        <f>SUM(N5:N7)</f>
        <v>15000</v>
      </c>
      <c r="T6" s="16">
        <f>S6/SUM($S$6:$S$9)</f>
        <v>8.2539642717612952E-2</v>
      </c>
      <c r="V6" s="65">
        <v>2</v>
      </c>
      <c r="W6" s="66">
        <f>Inputs!H9</f>
        <v>2.7500000000000002E-4</v>
      </c>
    </row>
    <row r="7" spans="1:23" x14ac:dyDescent="0.25">
      <c r="A7">
        <f t="shared" si="1"/>
        <v>57</v>
      </c>
      <c r="B7">
        <v>3</v>
      </c>
      <c r="C7" s="12">
        <f t="shared" si="2"/>
        <v>3.8449999999999999E-3</v>
      </c>
      <c r="D7" s="61">
        <f t="shared" si="3"/>
        <v>0.99615500000000001</v>
      </c>
      <c r="E7" s="198">
        <f>IF(B7&lt;=$C$2,1,IF(B7=$C$2+1,PRODUCT($D$5:D7),E6*D7))</f>
        <v>1</v>
      </c>
      <c r="F7" s="62">
        <f t="shared" si="4"/>
        <v>0.99615500000000001</v>
      </c>
      <c r="G7" s="198">
        <f>IF(B7&lt;=$C$2,1,IF(B7=$C$2+1,PRODUCT($F$5:F7),G6*F7))</f>
        <v>1</v>
      </c>
      <c r="H7" s="63">
        <f t="shared" si="5"/>
        <v>0.99232478402500002</v>
      </c>
      <c r="I7" s="63">
        <f t="shared" si="5"/>
        <v>1</v>
      </c>
      <c r="J7" s="60">
        <f t="shared" si="6"/>
        <v>1</v>
      </c>
      <c r="K7" s="10">
        <f t="shared" si="0"/>
        <v>0.88899635867091487</v>
      </c>
      <c r="L7" s="60">
        <f t="shared" si="7"/>
        <v>0.88899635867091487</v>
      </c>
      <c r="N7" s="13">
        <f t="shared" si="8"/>
        <v>5000</v>
      </c>
      <c r="O7" s="11">
        <f>(SUM(L8:$L$79)*$N$1)</f>
        <v>79829.361940797404</v>
      </c>
      <c r="P7" s="11">
        <f t="shared" si="9"/>
        <v>-4444.9817933545855</v>
      </c>
      <c r="Q7" s="14">
        <v>5</v>
      </c>
      <c r="R7" s="19" t="s">
        <v>45</v>
      </c>
      <c r="S7" s="17">
        <f>SUM(N8:N11)</f>
        <v>20000</v>
      </c>
      <c r="T7" s="18">
        <f t="shared" ref="T7:T9" si="10">S7/SUM($S$6:$S$9)</f>
        <v>0.11005285695681727</v>
      </c>
      <c r="V7" s="65">
        <v>3</v>
      </c>
      <c r="W7" s="66">
        <f>Inputs!H10</f>
        <v>2.2900000000000001E-4</v>
      </c>
    </row>
    <row r="8" spans="1:23" x14ac:dyDescent="0.25">
      <c r="A8">
        <f t="shared" si="1"/>
        <v>58</v>
      </c>
      <c r="B8">
        <v>4</v>
      </c>
      <c r="C8" s="12">
        <f t="shared" si="2"/>
        <v>4.2129999999999997E-3</v>
      </c>
      <c r="D8" s="61">
        <f t="shared" si="3"/>
        <v>0.99578699999999998</v>
      </c>
      <c r="E8" s="198">
        <f>IF(B8&lt;=$C$2,1,IF(B8=$C$2+1,PRODUCT($D$5:D8),E7*D8))</f>
        <v>1</v>
      </c>
      <c r="F8" s="62">
        <f t="shared" si="4"/>
        <v>0.99578699999999998</v>
      </c>
      <c r="G8" s="198">
        <f>IF(B8&lt;=$C$2,1,IF(B8=$C$2+1,PRODUCT($F$5:F8),G7*F8))</f>
        <v>1</v>
      </c>
      <c r="H8" s="63">
        <f t="shared" si="5"/>
        <v>0.99159174936899996</v>
      </c>
      <c r="I8" s="63">
        <f t="shared" si="5"/>
        <v>1</v>
      </c>
      <c r="J8" s="60">
        <f t="shared" si="6"/>
        <v>1</v>
      </c>
      <c r="K8" s="10">
        <f t="shared" si="0"/>
        <v>0.85480419102972571</v>
      </c>
      <c r="L8" s="60">
        <f t="shared" si="7"/>
        <v>0.85480419102972571</v>
      </c>
      <c r="N8" s="13">
        <f t="shared" si="8"/>
        <v>5000</v>
      </c>
      <c r="O8" s="11">
        <f>(SUM(L9:$L$79)*$N$1)</f>
        <v>75555.340985648785</v>
      </c>
      <c r="P8" s="11">
        <f t="shared" si="9"/>
        <v>-4274.0209551486187</v>
      </c>
      <c r="Q8" s="14">
        <v>10</v>
      </c>
      <c r="R8" s="19" t="s">
        <v>46</v>
      </c>
      <c r="S8" s="17">
        <f>SUM(N12:N19)</f>
        <v>40000</v>
      </c>
      <c r="T8" s="18">
        <f t="shared" si="10"/>
        <v>0.22010571391363454</v>
      </c>
      <c r="V8" s="65">
        <v>4</v>
      </c>
      <c r="W8" s="66">
        <f>Inputs!H11</f>
        <v>1.74E-4</v>
      </c>
    </row>
    <row r="9" spans="1:23" ht="15.75" thickBot="1" x14ac:dyDescent="0.3">
      <c r="A9">
        <f t="shared" si="1"/>
        <v>59</v>
      </c>
      <c r="B9">
        <v>5</v>
      </c>
      <c r="C9" s="12">
        <f t="shared" si="2"/>
        <v>4.6309999999999997E-3</v>
      </c>
      <c r="D9" s="61">
        <f t="shared" si="3"/>
        <v>0.99536899999999995</v>
      </c>
      <c r="E9" s="198">
        <f>IF(B9&lt;=$C$2,1,IF(B9=$C$2+1,PRODUCT($D$5:D9),E8*D9))</f>
        <v>1</v>
      </c>
      <c r="F9" s="62">
        <f t="shared" si="4"/>
        <v>0.99536899999999995</v>
      </c>
      <c r="G9" s="198">
        <f>IF(B9&lt;=$C$2,1,IF(B9=$C$2+1,PRODUCT($F$5:F9),G8*F9))</f>
        <v>1</v>
      </c>
      <c r="H9" s="63">
        <f t="shared" si="5"/>
        <v>0.99075944616099987</v>
      </c>
      <c r="I9" s="63">
        <f t="shared" si="5"/>
        <v>1</v>
      </c>
      <c r="J9" s="60">
        <f t="shared" si="6"/>
        <v>1</v>
      </c>
      <c r="K9" s="10">
        <f t="shared" si="0"/>
        <v>0.82192710675935154</v>
      </c>
      <c r="L9" s="60">
        <f t="shared" si="7"/>
        <v>0.82192710675935154</v>
      </c>
      <c r="N9" s="13">
        <f t="shared" si="8"/>
        <v>5000</v>
      </c>
      <c r="O9" s="11">
        <f>(SUM(L10:$L$79)*$N$1)</f>
        <v>71445.705451852031</v>
      </c>
      <c r="P9" s="11">
        <f t="shared" si="9"/>
        <v>-4109.6355337967543</v>
      </c>
      <c r="Q9" s="14">
        <v>30</v>
      </c>
      <c r="R9" s="20" t="s">
        <v>48</v>
      </c>
      <c r="S9" s="21">
        <f>SUM(N20:N70)</f>
        <v>106730.85690858199</v>
      </c>
      <c r="T9" s="22">
        <f t="shared" si="10"/>
        <v>0.58730178641193531</v>
      </c>
      <c r="V9" s="65">
        <v>5</v>
      </c>
      <c r="W9" s="66">
        <f>Inputs!H12</f>
        <v>1.6799999999999999E-4</v>
      </c>
    </row>
    <row r="10" spans="1:23" x14ac:dyDescent="0.25">
      <c r="A10">
        <f t="shared" si="1"/>
        <v>60</v>
      </c>
      <c r="B10">
        <v>6</v>
      </c>
      <c r="C10" s="12">
        <f t="shared" si="2"/>
        <v>5.0959999999999998E-3</v>
      </c>
      <c r="D10" s="61">
        <f t="shared" si="3"/>
        <v>0.99490400000000001</v>
      </c>
      <c r="E10" s="198">
        <f>IF(B10&lt;=$C$2,1,IF(B10=$C$2+1,PRODUCT($D$5:D10),E9*D10))</f>
        <v>1</v>
      </c>
      <c r="F10" s="62">
        <f t="shared" si="4"/>
        <v>0.99490400000000001</v>
      </c>
      <c r="G10" s="198">
        <f>IF(B10&lt;=$C$2,1,IF(B10=$C$2+1,PRODUCT($F$5:F10),G9*F10))</f>
        <v>1</v>
      </c>
      <c r="H10" s="63">
        <f t="shared" si="5"/>
        <v>0.98983396921599998</v>
      </c>
      <c r="I10" s="63">
        <f t="shared" si="5"/>
        <v>1</v>
      </c>
      <c r="J10" s="60">
        <f t="shared" si="6"/>
        <v>1</v>
      </c>
      <c r="K10" s="10">
        <f t="shared" si="0"/>
        <v>0.79031452573014571</v>
      </c>
      <c r="L10" s="60">
        <f t="shared" si="7"/>
        <v>0.79031452573014571</v>
      </c>
      <c r="N10" s="13">
        <f t="shared" si="8"/>
        <v>5000</v>
      </c>
      <c r="O10" s="11">
        <f>(SUM(L11:$L$79)*$N$1)</f>
        <v>67494.132823201289</v>
      </c>
      <c r="P10" s="11">
        <f t="shared" si="9"/>
        <v>-3951.5726286507415</v>
      </c>
      <c r="Q10" s="53">
        <f>+SUMPRODUCT(Q6:Q9,T6:T9)</f>
        <v>20.53545430171372</v>
      </c>
      <c r="T10" s="23">
        <f>SUM(T6:T9)</f>
        <v>1</v>
      </c>
      <c r="V10" s="65">
        <v>6</v>
      </c>
      <c r="W10" s="66">
        <f>Inputs!H13</f>
        <v>1.65E-4</v>
      </c>
    </row>
    <row r="11" spans="1:23" x14ac:dyDescent="0.25">
      <c r="A11">
        <f t="shared" si="1"/>
        <v>61</v>
      </c>
      <c r="B11">
        <v>7</v>
      </c>
      <c r="C11" s="12">
        <f t="shared" si="2"/>
        <v>5.6140000000000001E-3</v>
      </c>
      <c r="D11" s="61">
        <f t="shared" si="3"/>
        <v>0.99438599999999999</v>
      </c>
      <c r="E11" s="198">
        <f>IF(B11&lt;=$C$2,1,IF(B11=$C$2+1,PRODUCT($D$5:D11),E10*D11))</f>
        <v>1</v>
      </c>
      <c r="F11" s="62">
        <f t="shared" si="4"/>
        <v>0.99438599999999999</v>
      </c>
      <c r="G11" s="198">
        <f>IF(B11&lt;=$C$2,1,IF(B11=$C$2+1,PRODUCT($F$5:F11),G10*F11))</f>
        <v>1</v>
      </c>
      <c r="H11" s="63">
        <f t="shared" si="5"/>
        <v>0.988803516996</v>
      </c>
      <c r="I11" s="63">
        <f t="shared" si="5"/>
        <v>1</v>
      </c>
      <c r="J11" s="60">
        <f t="shared" si="6"/>
        <v>1</v>
      </c>
      <c r="K11" s="10">
        <f t="shared" si="0"/>
        <v>0.75991781320206331</v>
      </c>
      <c r="L11" s="60">
        <f t="shared" si="7"/>
        <v>0.75991781320206331</v>
      </c>
      <c r="N11" s="13">
        <f t="shared" si="8"/>
        <v>5000</v>
      </c>
      <c r="O11" s="11">
        <f>(SUM(L12:$L$79)*$N$1)</f>
        <v>63694.543757190972</v>
      </c>
      <c r="P11" s="11">
        <f t="shared" si="9"/>
        <v>-3799.5890660103178</v>
      </c>
      <c r="V11" s="65">
        <v>7</v>
      </c>
      <c r="W11" s="66">
        <f>Inputs!H14</f>
        <v>1.5899999999999999E-4</v>
      </c>
    </row>
    <row r="12" spans="1:23" x14ac:dyDescent="0.25">
      <c r="A12">
        <f t="shared" si="1"/>
        <v>62</v>
      </c>
      <c r="B12">
        <v>8</v>
      </c>
      <c r="C12" s="12">
        <f t="shared" si="2"/>
        <v>6.169E-3</v>
      </c>
      <c r="D12" s="61">
        <f t="shared" si="3"/>
        <v>0.99383100000000002</v>
      </c>
      <c r="E12" s="198">
        <f>IF(B12&lt;=$C$2,1,IF(B12=$C$2+1,PRODUCT($D$5:D12),E11*D12))</f>
        <v>1</v>
      </c>
      <c r="F12" s="62">
        <f t="shared" si="4"/>
        <v>0.99383100000000002</v>
      </c>
      <c r="G12" s="198">
        <f>IF(B12&lt;=$C$2,1,IF(B12=$C$2+1,PRODUCT($F$5:F12),G11*F12))</f>
        <v>1</v>
      </c>
      <c r="H12" s="63">
        <f t="shared" si="5"/>
        <v>0.98770005656100002</v>
      </c>
      <c r="I12" s="63">
        <f t="shared" si="5"/>
        <v>1</v>
      </c>
      <c r="J12" s="60">
        <f t="shared" si="6"/>
        <v>1</v>
      </c>
      <c r="K12" s="10">
        <f t="shared" si="0"/>
        <v>0.73069020500198378</v>
      </c>
      <c r="L12" s="60">
        <f t="shared" si="7"/>
        <v>0.73069020500198378</v>
      </c>
      <c r="N12" s="13">
        <f t="shared" si="8"/>
        <v>5000</v>
      </c>
      <c r="O12" s="11">
        <f>(SUM(L13:$L$79)*$N$1)</f>
        <v>60041.09273218106</v>
      </c>
      <c r="P12" s="11">
        <f t="shared" si="9"/>
        <v>-3653.451025009912</v>
      </c>
      <c r="V12" s="65">
        <v>8</v>
      </c>
      <c r="W12" s="66">
        <f>Inputs!H15</f>
        <v>1.4300000000000001E-4</v>
      </c>
    </row>
    <row r="13" spans="1:23" x14ac:dyDescent="0.25">
      <c r="A13">
        <f t="shared" si="1"/>
        <v>63</v>
      </c>
      <c r="B13">
        <v>9</v>
      </c>
      <c r="C13" s="12">
        <f t="shared" si="2"/>
        <v>6.7590000000000003E-3</v>
      </c>
      <c r="D13" s="61">
        <f t="shared" si="3"/>
        <v>0.99324100000000004</v>
      </c>
      <c r="E13" s="198">
        <f>IF(B13&lt;=$C$2,1,IF(B13=$C$2+1,PRODUCT($D$5:D13),E12*D13))</f>
        <v>1</v>
      </c>
      <c r="F13" s="62">
        <f t="shared" si="4"/>
        <v>0.99324100000000004</v>
      </c>
      <c r="G13" s="198">
        <f>IF(B13&lt;=$C$2,1,IF(B13=$C$2+1,PRODUCT($F$5:F13),G12*F13))</f>
        <v>1</v>
      </c>
      <c r="H13" s="63">
        <f t="shared" si="5"/>
        <v>0.98652768408100011</v>
      </c>
      <c r="I13" s="63">
        <f t="shared" si="5"/>
        <v>1</v>
      </c>
      <c r="J13" s="60">
        <f t="shared" si="6"/>
        <v>1</v>
      </c>
      <c r="K13" s="10">
        <f t="shared" si="0"/>
        <v>0.70258673557883045</v>
      </c>
      <c r="L13" s="60">
        <f t="shared" si="7"/>
        <v>0.70258673557883045</v>
      </c>
      <c r="N13" s="13">
        <f t="shared" si="8"/>
        <v>5000</v>
      </c>
      <c r="O13" s="11">
        <f>(SUM(L14:$L$79)*$N$1)</f>
        <v>56528.159054286894</v>
      </c>
      <c r="P13" s="11">
        <f t="shared" si="9"/>
        <v>-3512.9336778941652</v>
      </c>
      <c r="V13" s="65">
        <v>9</v>
      </c>
      <c r="W13" s="66">
        <f>Inputs!H16</f>
        <v>1.2899999999999999E-4</v>
      </c>
    </row>
    <row r="14" spans="1:23" x14ac:dyDescent="0.25">
      <c r="A14">
        <f t="shared" si="1"/>
        <v>64</v>
      </c>
      <c r="B14">
        <v>10</v>
      </c>
      <c r="C14" s="12">
        <f t="shared" si="2"/>
        <v>7.3980000000000001E-3</v>
      </c>
      <c r="D14" s="61">
        <f t="shared" si="3"/>
        <v>0.99260199999999998</v>
      </c>
      <c r="E14" s="198">
        <f>IF(B14&lt;=$C$2,1,IF(B14=$C$2+1,PRODUCT($D$5:D14),E13*D14))</f>
        <v>1</v>
      </c>
      <c r="F14" s="62">
        <f t="shared" si="4"/>
        <v>0.99260199999999998</v>
      </c>
      <c r="G14" s="198">
        <f>IF(B14&lt;=$C$2,1,IF(B14=$C$2+1,PRODUCT($F$5:F14),G13*F14))</f>
        <v>1</v>
      </c>
      <c r="H14" s="63">
        <f t="shared" si="5"/>
        <v>0.98525873040399992</v>
      </c>
      <c r="I14" s="63">
        <f t="shared" si="5"/>
        <v>1</v>
      </c>
      <c r="J14" s="60">
        <f t="shared" si="6"/>
        <v>1</v>
      </c>
      <c r="K14" s="10">
        <f t="shared" si="0"/>
        <v>0.67556416882579851</v>
      </c>
      <c r="L14" s="60">
        <f t="shared" si="7"/>
        <v>0.67556416882579851</v>
      </c>
      <c r="N14" s="13">
        <f t="shared" si="8"/>
        <v>5000</v>
      </c>
      <c r="O14" s="11">
        <f>(SUM(L15:$L$79)*$N$1)</f>
        <v>53150.338210157905</v>
      </c>
      <c r="P14" s="11">
        <f t="shared" si="9"/>
        <v>-3377.8208441289898</v>
      </c>
      <c r="V14" s="65">
        <v>10</v>
      </c>
      <c r="W14" s="66">
        <f>Inputs!H17</f>
        <v>1.13E-4</v>
      </c>
    </row>
    <row r="15" spans="1:23" x14ac:dyDescent="0.25">
      <c r="A15">
        <f t="shared" si="1"/>
        <v>65</v>
      </c>
      <c r="B15">
        <v>11</v>
      </c>
      <c r="C15" s="12">
        <f t="shared" si="2"/>
        <v>8.1060000000000004E-3</v>
      </c>
      <c r="D15" s="61">
        <f t="shared" si="3"/>
        <v>0.99189400000000005</v>
      </c>
      <c r="E15" s="198">
        <f>IF(B15&lt;=$C$2,1,IF(B15=$C$2+1,PRODUCT($D$5:D15),E14*D15))</f>
        <v>1</v>
      </c>
      <c r="F15" s="62">
        <f t="shared" si="4"/>
        <v>0.99189400000000005</v>
      </c>
      <c r="G15" s="198">
        <f>IF(B15&lt;=$C$2,1,IF(B15=$C$2+1,PRODUCT($F$5:F15),G14*F15))</f>
        <v>1</v>
      </c>
      <c r="H15" s="63">
        <f t="shared" si="5"/>
        <v>0.98385370723600007</v>
      </c>
      <c r="I15" s="63">
        <f t="shared" si="5"/>
        <v>1</v>
      </c>
      <c r="J15" s="60">
        <f t="shared" si="6"/>
        <v>1</v>
      </c>
      <c r="K15" s="10">
        <f t="shared" si="0"/>
        <v>0.6495809315632679</v>
      </c>
      <c r="L15" s="60">
        <f t="shared" si="7"/>
        <v>0.6495809315632679</v>
      </c>
      <c r="N15" s="13">
        <f t="shared" si="8"/>
        <v>5000</v>
      </c>
      <c r="O15" s="11">
        <f>(SUM(L16:$L$79)*$N$1)</f>
        <v>49902.433552341572</v>
      </c>
      <c r="P15" s="11">
        <f t="shared" si="9"/>
        <v>-3247.9046578163325</v>
      </c>
      <c r="V15" s="65">
        <v>11</v>
      </c>
      <c r="W15" s="66">
        <f>Inputs!H18</f>
        <v>1.11E-4</v>
      </c>
    </row>
    <row r="16" spans="1:23" x14ac:dyDescent="0.25">
      <c r="A16">
        <f t="shared" si="1"/>
        <v>66</v>
      </c>
      <c r="B16">
        <v>12</v>
      </c>
      <c r="C16" s="12">
        <f t="shared" si="2"/>
        <v>8.548E-3</v>
      </c>
      <c r="D16" s="61">
        <f t="shared" si="3"/>
        <v>0.991452</v>
      </c>
      <c r="E16" s="198">
        <f>IF(B16&lt;=$C$2,1,IF(B16=$C$2+1,PRODUCT($D$5:D16),E15*D16))</f>
        <v>1</v>
      </c>
      <c r="F16" s="62">
        <f t="shared" si="4"/>
        <v>0.991452</v>
      </c>
      <c r="G16" s="198">
        <f>IF(B16&lt;=$C$2,1,IF(B16=$C$2+1,PRODUCT($F$5:F16),G15*F16))</f>
        <v>1</v>
      </c>
      <c r="H16" s="63">
        <f t="shared" si="5"/>
        <v>0.982977068304</v>
      </c>
      <c r="I16" s="63">
        <f t="shared" si="5"/>
        <v>1</v>
      </c>
      <c r="J16" s="60">
        <f t="shared" si="6"/>
        <v>1</v>
      </c>
      <c r="K16" s="10">
        <f t="shared" si="0"/>
        <v>0.62459704958006512</v>
      </c>
      <c r="L16" s="60">
        <f t="shared" si="7"/>
        <v>0.62459704958006512</v>
      </c>
      <c r="N16" s="13">
        <f t="shared" si="8"/>
        <v>5000</v>
      </c>
      <c r="O16" s="11">
        <f>(SUM(L17:$L$79)*$N$1)</f>
        <v>46779.448304441241</v>
      </c>
      <c r="P16" s="11">
        <f t="shared" si="9"/>
        <v>-3122.9852479003312</v>
      </c>
      <c r="V16" s="65">
        <v>12</v>
      </c>
      <c r="W16" s="66">
        <f>Inputs!H19</f>
        <v>1.3200000000000001E-4</v>
      </c>
    </row>
    <row r="17" spans="1:23" x14ac:dyDescent="0.25">
      <c r="A17">
        <f t="shared" si="1"/>
        <v>67</v>
      </c>
      <c r="B17">
        <v>13</v>
      </c>
      <c r="C17" s="12">
        <f t="shared" si="2"/>
        <v>9.0760000000000007E-3</v>
      </c>
      <c r="D17" s="61">
        <f t="shared" si="3"/>
        <v>0.99092400000000003</v>
      </c>
      <c r="E17" s="198">
        <f>IF(B17&lt;=$C$2,1,IF(B17=$C$2+1,PRODUCT($D$5:D17),E16*D17))</f>
        <v>1</v>
      </c>
      <c r="F17" s="62">
        <f t="shared" si="4"/>
        <v>0.99092400000000003</v>
      </c>
      <c r="G17" s="198">
        <f>IF(B17&lt;=$C$2,1,IF(B17=$C$2+1,PRODUCT($F$5:F17),G16*F17))</f>
        <v>1</v>
      </c>
      <c r="H17" s="63">
        <f t="shared" si="5"/>
        <v>0.98193037377600001</v>
      </c>
      <c r="I17" s="63">
        <f t="shared" si="5"/>
        <v>1</v>
      </c>
      <c r="J17" s="60">
        <f t="shared" si="6"/>
        <v>1</v>
      </c>
      <c r="K17" s="10">
        <f t="shared" si="0"/>
        <v>0.600574086134678</v>
      </c>
      <c r="L17" s="60">
        <f t="shared" si="7"/>
        <v>0.600574086134678</v>
      </c>
      <c r="N17" s="13">
        <f t="shared" si="8"/>
        <v>5000</v>
      </c>
      <c r="O17" s="11">
        <f>(SUM(L18:$L$79)*$N$1)</f>
        <v>43776.577873767856</v>
      </c>
      <c r="P17" s="11">
        <f t="shared" si="9"/>
        <v>-3002.8704306733853</v>
      </c>
      <c r="V17" s="65">
        <v>13</v>
      </c>
      <c r="W17" s="66">
        <f>Inputs!H20</f>
        <v>1.6899999999999999E-4</v>
      </c>
    </row>
    <row r="18" spans="1:23" x14ac:dyDescent="0.25">
      <c r="A18">
        <f t="shared" si="1"/>
        <v>68</v>
      </c>
      <c r="B18">
        <v>14</v>
      </c>
      <c r="C18" s="12">
        <f t="shared" si="2"/>
        <v>9.7079999999999996E-3</v>
      </c>
      <c r="D18" s="61">
        <f t="shared" si="3"/>
        <v>0.99029199999999995</v>
      </c>
      <c r="E18" s="198">
        <f>IF(B18&lt;=$C$2,1,IF(B18=$C$2+1,PRODUCT($D$5:D18),E17*D18))</f>
        <v>1</v>
      </c>
      <c r="F18" s="62">
        <f t="shared" si="4"/>
        <v>0.99029199999999995</v>
      </c>
      <c r="G18" s="198">
        <f>IF(B18&lt;=$C$2,1,IF(B18=$C$2+1,PRODUCT($F$5:F18),G17*F18))</f>
        <v>1</v>
      </c>
      <c r="H18" s="63">
        <f t="shared" si="5"/>
        <v>0.98067824526399994</v>
      </c>
      <c r="I18" s="63">
        <f t="shared" si="5"/>
        <v>1</v>
      </c>
      <c r="J18" s="60">
        <f t="shared" si="6"/>
        <v>1</v>
      </c>
      <c r="K18" s="10">
        <f t="shared" si="0"/>
        <v>0.57747508282180582</v>
      </c>
      <c r="L18" s="60">
        <f t="shared" si="7"/>
        <v>0.57747508282180582</v>
      </c>
      <c r="N18" s="13">
        <f t="shared" si="8"/>
        <v>5000</v>
      </c>
      <c r="O18" s="11">
        <f>(SUM(L19:$L$79)*$N$1)</f>
        <v>40889.202459658816</v>
      </c>
      <c r="P18" s="11">
        <f t="shared" si="9"/>
        <v>-2887.3754141090394</v>
      </c>
      <c r="V18" s="65">
        <v>14</v>
      </c>
      <c r="W18" s="66">
        <f>Inputs!H21</f>
        <v>2.13E-4</v>
      </c>
    </row>
    <row r="19" spans="1:23" x14ac:dyDescent="0.25">
      <c r="A19">
        <f t="shared" si="1"/>
        <v>69</v>
      </c>
      <c r="B19">
        <v>15</v>
      </c>
      <c r="C19" s="12">
        <f t="shared" si="2"/>
        <v>1.0463E-2</v>
      </c>
      <c r="D19" s="61">
        <f t="shared" si="3"/>
        <v>0.989537</v>
      </c>
      <c r="E19" s="198">
        <f>IF(B19&lt;=$C$2,1,IF(B19=$C$2+1,PRODUCT($D$5:D19),E18*D19))</f>
        <v>1</v>
      </c>
      <c r="F19" s="62">
        <f t="shared" si="4"/>
        <v>0.989537</v>
      </c>
      <c r="G19" s="198">
        <f>IF(B19&lt;=$C$2,1,IF(B19=$C$2+1,PRODUCT($F$5:F19),G18*F19))</f>
        <v>1</v>
      </c>
      <c r="H19" s="63">
        <f t="shared" si="5"/>
        <v>0.979183474369</v>
      </c>
      <c r="I19" s="63">
        <f t="shared" si="5"/>
        <v>1</v>
      </c>
      <c r="J19" s="60">
        <f t="shared" si="6"/>
        <v>1</v>
      </c>
      <c r="K19" s="10">
        <f t="shared" si="0"/>
        <v>0.55526450271327477</v>
      </c>
      <c r="L19" s="60">
        <f t="shared" si="7"/>
        <v>0.55526450271327477</v>
      </c>
      <c r="N19" s="13">
        <f t="shared" si="8"/>
        <v>5000</v>
      </c>
      <c r="O19" s="11">
        <f>(SUM(L20:$L$79)*$N$1)</f>
        <v>38112.879946092427</v>
      </c>
      <c r="P19" s="11">
        <f t="shared" si="9"/>
        <v>-2776.3225135663888</v>
      </c>
      <c r="V19" s="65">
        <v>15</v>
      </c>
      <c r="W19" s="66">
        <f>Inputs!H22</f>
        <v>2.5399999999999999E-4</v>
      </c>
    </row>
    <row r="20" spans="1:23" x14ac:dyDescent="0.25">
      <c r="A20">
        <f t="shared" si="1"/>
        <v>70</v>
      </c>
      <c r="B20">
        <v>16</v>
      </c>
      <c r="C20" s="12">
        <f t="shared" si="2"/>
        <v>1.1357000000000001E-2</v>
      </c>
      <c r="D20" s="61">
        <f t="shared" si="3"/>
        <v>0.98864300000000005</v>
      </c>
      <c r="E20" s="198">
        <f>IF(B20&lt;=$C$2,1,IF(B20=$C$2+1,PRODUCT($D$5:D20),E19*D20))</f>
        <v>0.89746445566025901</v>
      </c>
      <c r="F20" s="62">
        <f t="shared" si="4"/>
        <v>0.98864300000000005</v>
      </c>
      <c r="G20" s="198">
        <f>IF(B20&lt;=$C$2,1,IF(B20=$C$2+1,PRODUCT($F$5:F20),G19*F20))</f>
        <v>0.89746445566025901</v>
      </c>
      <c r="H20" s="63">
        <f t="shared" si="5"/>
        <v>0.97741498144900008</v>
      </c>
      <c r="I20" s="63">
        <f t="shared" si="5"/>
        <v>0.805442449173565</v>
      </c>
      <c r="J20" s="60">
        <f t="shared" si="6"/>
        <v>0.98948646214695302</v>
      </c>
      <c r="K20" s="10">
        <f t="shared" si="0"/>
        <v>0.53390817568584104</v>
      </c>
      <c r="L20" s="60">
        <f t="shared" si="7"/>
        <v>0.52829491187071664</v>
      </c>
      <c r="N20" s="13">
        <f t="shared" si="8"/>
        <v>4947.4323107347655</v>
      </c>
      <c r="O20" s="11">
        <f>(SUM(L21:$L$79)*$N$1)</f>
        <v>35471.40538673885</v>
      </c>
      <c r="P20" s="11">
        <f t="shared" si="9"/>
        <v>-2641.4745593535772</v>
      </c>
      <c r="V20" s="65">
        <v>16</v>
      </c>
      <c r="W20" s="66">
        <f>Inputs!H23</f>
        <v>2.9300000000000002E-4</v>
      </c>
    </row>
    <row r="21" spans="1:23" x14ac:dyDescent="0.25">
      <c r="A21">
        <f t="shared" si="1"/>
        <v>71</v>
      </c>
      <c r="B21">
        <v>17</v>
      </c>
      <c r="C21" s="12">
        <f t="shared" si="2"/>
        <v>1.2418E-2</v>
      </c>
      <c r="D21" s="61">
        <f t="shared" si="3"/>
        <v>0.98758199999999996</v>
      </c>
      <c r="E21" s="198">
        <f>IF(B21&lt;=$C$2,1,IF(B21=$C$2+1,PRODUCT($D$5:D21),E20*D21))</f>
        <v>0.88631974204986985</v>
      </c>
      <c r="F21" s="62">
        <f t="shared" si="4"/>
        <v>0.98758199999999996</v>
      </c>
      <c r="G21" s="198">
        <f>IF(B21&lt;=$C$2,1,IF(B21=$C$2+1,PRODUCT($F$5:F21),G20*F21))</f>
        <v>0.88631974204986985</v>
      </c>
      <c r="H21" s="63">
        <f t="shared" si="5"/>
        <v>0.97531820672399994</v>
      </c>
      <c r="I21" s="63">
        <f t="shared" si="5"/>
        <v>0.78556268514734784</v>
      </c>
      <c r="J21" s="60">
        <f t="shared" si="6"/>
        <v>0.98707679895239187</v>
      </c>
      <c r="K21" s="10">
        <f t="shared" si="0"/>
        <v>0.51337324585177024</v>
      </c>
      <c r="L21" s="60">
        <f t="shared" si="7"/>
        <v>0.50673882018316463</v>
      </c>
      <c r="N21" s="13">
        <f t="shared" si="8"/>
        <v>4935.383994761959</v>
      </c>
      <c r="O21" s="11">
        <f>(SUM(L22:$L$79)*$N$1)</f>
        <v>32937.711285823025</v>
      </c>
      <c r="P21" s="11">
        <f t="shared" si="9"/>
        <v>-2533.6941009158254</v>
      </c>
      <c r="V21" s="65">
        <v>17</v>
      </c>
      <c r="W21" s="66">
        <f>Inputs!H24</f>
        <v>3.28E-4</v>
      </c>
    </row>
    <row r="22" spans="1:23" x14ac:dyDescent="0.25">
      <c r="A22">
        <f t="shared" si="1"/>
        <v>72</v>
      </c>
      <c r="B22">
        <v>18</v>
      </c>
      <c r="C22" s="12">
        <f t="shared" si="2"/>
        <v>1.3675E-2</v>
      </c>
      <c r="D22" s="61">
        <f t="shared" si="3"/>
        <v>0.98632500000000001</v>
      </c>
      <c r="E22" s="198">
        <f>IF(B22&lt;=$C$2,1,IF(B22=$C$2+1,PRODUCT($D$5:D22),E21*D22))</f>
        <v>0.87419931957733787</v>
      </c>
      <c r="F22" s="62">
        <f t="shared" si="4"/>
        <v>0.98632500000000001</v>
      </c>
      <c r="G22" s="198">
        <f>IF(B22&lt;=$C$2,1,IF(B22=$C$2+1,PRODUCT($F$5:F22),G21*F22))</f>
        <v>0.87419931957733787</v>
      </c>
      <c r="H22" s="63">
        <f t="shared" si="5"/>
        <v>0.97283700562499997</v>
      </c>
      <c r="I22" s="63">
        <f t="shared" si="5"/>
        <v>0.7642244503494805</v>
      </c>
      <c r="J22" s="60">
        <f t="shared" si="6"/>
        <v>0.98417418880519525</v>
      </c>
      <c r="K22" s="10">
        <f t="shared" si="0"/>
        <v>0.49362812101131748</v>
      </c>
      <c r="L22" s="60">
        <f t="shared" si="7"/>
        <v>0.48581605556774615</v>
      </c>
      <c r="N22" s="13">
        <f t="shared" si="8"/>
        <v>4920.8709440259763</v>
      </c>
      <c r="O22" s="11">
        <f>(SUM(L23:$L$79)*$N$1)</f>
        <v>30508.631007984292</v>
      </c>
      <c r="P22" s="11">
        <f t="shared" si="9"/>
        <v>-2429.0802778387333</v>
      </c>
      <c r="V22" s="65">
        <v>18</v>
      </c>
      <c r="W22" s="66">
        <f>Inputs!H25</f>
        <v>3.59E-4</v>
      </c>
    </row>
    <row r="23" spans="1:23" x14ac:dyDescent="0.25">
      <c r="A23">
        <f t="shared" si="1"/>
        <v>73</v>
      </c>
      <c r="B23">
        <v>19</v>
      </c>
      <c r="C23" s="12">
        <f t="shared" si="2"/>
        <v>1.515E-2</v>
      </c>
      <c r="D23" s="61">
        <f t="shared" si="3"/>
        <v>0.98485</v>
      </c>
      <c r="E23" s="198">
        <f>IF(B23&lt;=$C$2,1,IF(B23=$C$2+1,PRODUCT($D$5:D23),E22*D23))</f>
        <v>0.86095519988574121</v>
      </c>
      <c r="F23" s="62">
        <f t="shared" si="4"/>
        <v>0.98485</v>
      </c>
      <c r="G23" s="198">
        <f>IF(B23&lt;=$C$2,1,IF(B23=$C$2+1,PRODUCT($F$5:F23),G22*F23))</f>
        <v>0.86095519988574121</v>
      </c>
      <c r="H23" s="63">
        <f t="shared" si="5"/>
        <v>0.96992952249999997</v>
      </c>
      <c r="I23" s="63">
        <f t="shared" si="5"/>
        <v>0.74124385621029665</v>
      </c>
      <c r="J23" s="60">
        <f t="shared" si="6"/>
        <v>0.98066654356118577</v>
      </c>
      <c r="K23" s="10">
        <f t="shared" si="0"/>
        <v>0.47464242404934376</v>
      </c>
      <c r="L23" s="60">
        <f t="shared" si="7"/>
        <v>0.4654659454199726</v>
      </c>
      <c r="N23" s="13">
        <f t="shared" si="8"/>
        <v>4903.332717805929</v>
      </c>
      <c r="O23" s="11">
        <f>(SUM(L24:$L$79)*$N$1)</f>
        <v>28181.301280884425</v>
      </c>
      <c r="P23" s="11">
        <f t="shared" si="9"/>
        <v>-2327.3297270998664</v>
      </c>
      <c r="V23" s="65">
        <v>19</v>
      </c>
      <c r="W23" s="66">
        <f>Inputs!H26</f>
        <v>3.8699999999999997E-4</v>
      </c>
    </row>
    <row r="24" spans="1:23" x14ac:dyDescent="0.25">
      <c r="A24">
        <f t="shared" si="1"/>
        <v>74</v>
      </c>
      <c r="B24">
        <v>20</v>
      </c>
      <c r="C24" s="12">
        <f t="shared" si="2"/>
        <v>1.686E-2</v>
      </c>
      <c r="D24" s="61">
        <f t="shared" si="3"/>
        <v>0.98314000000000001</v>
      </c>
      <c r="E24" s="198">
        <f>IF(B24&lt;=$C$2,1,IF(B24=$C$2+1,PRODUCT($D$5:D24),E23*D24))</f>
        <v>0.84643949521566764</v>
      </c>
      <c r="F24" s="62">
        <f t="shared" si="4"/>
        <v>0.98314000000000001</v>
      </c>
      <c r="G24" s="198">
        <f>IF(B24&lt;=$C$2,1,IF(B24=$C$2+1,PRODUCT($F$5:F24),G23*F24))</f>
        <v>0.84643949521566764</v>
      </c>
      <c r="H24" s="63">
        <f t="shared" si="5"/>
        <v>0.96656425960000003</v>
      </c>
      <c r="I24" s="63">
        <f t="shared" si="5"/>
        <v>0.71645981906095424</v>
      </c>
      <c r="J24" s="60">
        <f t="shared" si="6"/>
        <v>0.97641917137038103</v>
      </c>
      <c r="K24" s="10">
        <f t="shared" si="0"/>
        <v>0.45638694620129205</v>
      </c>
      <c r="L24" s="60">
        <f t="shared" si="7"/>
        <v>0.44562496383412425</v>
      </c>
      <c r="N24" s="13">
        <f t="shared" si="8"/>
        <v>4882.0958568519054</v>
      </c>
      <c r="O24" s="11">
        <f>(SUM(L25:$L$79)*$N$1)</f>
        <v>25953.176461713803</v>
      </c>
      <c r="P24" s="11">
        <f t="shared" si="9"/>
        <v>-2228.1248191706218</v>
      </c>
      <c r="V24" s="65">
        <v>20</v>
      </c>
      <c r="W24" s="66">
        <f>Inputs!H27</f>
        <v>4.1399999999999998E-4</v>
      </c>
    </row>
    <row r="25" spans="1:23" x14ac:dyDescent="0.25">
      <c r="A25">
        <f t="shared" si="1"/>
        <v>75</v>
      </c>
      <c r="B25">
        <v>21</v>
      </c>
      <c r="C25" s="12">
        <f t="shared" si="2"/>
        <v>1.8814999999999998E-2</v>
      </c>
      <c r="D25" s="61">
        <f t="shared" si="3"/>
        <v>0.98118499999999997</v>
      </c>
      <c r="E25" s="198">
        <f>IF(B25&lt;=$C$2,1,IF(B25=$C$2+1,PRODUCT($D$5:D25),E24*D25))</f>
        <v>0.8305137361131848</v>
      </c>
      <c r="F25" s="62">
        <f t="shared" si="4"/>
        <v>0.98118499999999997</v>
      </c>
      <c r="G25" s="198">
        <f>IF(B25&lt;=$C$2,1,IF(B25=$C$2+1,PRODUCT($F$5:F25),G24*F25))</f>
        <v>0.8305137361131848</v>
      </c>
      <c r="H25" s="63">
        <f t="shared" si="5"/>
        <v>0.96272400422499993</v>
      </c>
      <c r="I25" s="63">
        <f t="shared" si="5"/>
        <v>0.6897530658726807</v>
      </c>
      <c r="J25" s="60">
        <f t="shared" si="6"/>
        <v>0.97127440635368889</v>
      </c>
      <c r="K25" s="10">
        <f t="shared" si="0"/>
        <v>0.43883360211662686</v>
      </c>
      <c r="L25" s="60">
        <f t="shared" si="7"/>
        <v>0.42622784638387767</v>
      </c>
      <c r="N25" s="13">
        <f t="shared" si="8"/>
        <v>4856.3720317684447</v>
      </c>
      <c r="O25" s="11">
        <f>(SUM(L26:$L$79)*$N$1)</f>
        <v>23822.037229794423</v>
      </c>
      <c r="P25" s="11">
        <f t="shared" si="9"/>
        <v>-2131.1392319193801</v>
      </c>
      <c r="V25" s="65">
        <v>21</v>
      </c>
      <c r="W25" s="66">
        <f>Inputs!H28</f>
        <v>4.4299999999999998E-4</v>
      </c>
    </row>
    <row r="26" spans="1:23" x14ac:dyDescent="0.25">
      <c r="A26">
        <f t="shared" si="1"/>
        <v>76</v>
      </c>
      <c r="B26">
        <v>22</v>
      </c>
      <c r="C26" s="12">
        <f t="shared" si="2"/>
        <v>2.1031000000000001E-2</v>
      </c>
      <c r="D26" s="61">
        <f t="shared" si="3"/>
        <v>0.97896899999999998</v>
      </c>
      <c r="E26" s="198">
        <f>IF(B26&lt;=$C$2,1,IF(B26=$C$2+1,PRODUCT($D$5:D26),E25*D26))</f>
        <v>0.81304720172898837</v>
      </c>
      <c r="F26" s="62">
        <f t="shared" si="4"/>
        <v>0.97896899999999998</v>
      </c>
      <c r="G26" s="198">
        <f>IF(B26&lt;=$C$2,1,IF(B26=$C$2+1,PRODUCT($F$5:F26),G25*F26))</f>
        <v>0.81304720172898837</v>
      </c>
      <c r="H26" s="63">
        <f t="shared" si="5"/>
        <v>0.95838030296099996</v>
      </c>
      <c r="I26" s="63">
        <f t="shared" si="5"/>
        <v>0.66104575223933826</v>
      </c>
      <c r="J26" s="60">
        <f t="shared" si="6"/>
        <v>0.96504865121863848</v>
      </c>
      <c r="K26" s="10">
        <f t="shared" si="0"/>
        <v>0.42195538665060278</v>
      </c>
      <c r="L26" s="60">
        <f t="shared" si="7"/>
        <v>0.40720747676160329</v>
      </c>
      <c r="N26" s="13">
        <f t="shared" si="8"/>
        <v>4825.243256093192</v>
      </c>
      <c r="O26" s="11">
        <f>(SUM(L27:$L$79)*$N$1)</f>
        <v>21785.999845986407</v>
      </c>
      <c r="P26" s="11">
        <f t="shared" si="9"/>
        <v>-2036.0373838080159</v>
      </c>
      <c r="V26" s="65">
        <v>22</v>
      </c>
      <c r="W26" s="66">
        <f>Inputs!H29</f>
        <v>4.73E-4</v>
      </c>
    </row>
    <row r="27" spans="1:23" x14ac:dyDescent="0.25">
      <c r="A27">
        <f t="shared" si="1"/>
        <v>77</v>
      </c>
      <c r="B27">
        <v>23</v>
      </c>
      <c r="C27" s="12">
        <f t="shared" si="2"/>
        <v>2.3539999999999998E-2</v>
      </c>
      <c r="D27" s="61">
        <f t="shared" si="3"/>
        <v>0.97645999999999999</v>
      </c>
      <c r="E27" s="198">
        <f>IF(B27&lt;=$C$2,1,IF(B27=$C$2+1,PRODUCT($D$5:D27),E26*D27))</f>
        <v>0.79390807060028801</v>
      </c>
      <c r="F27" s="62">
        <f t="shared" si="4"/>
        <v>0.97645999999999999</v>
      </c>
      <c r="G27" s="198">
        <f>IF(B27&lt;=$C$2,1,IF(B27=$C$2+1,PRODUCT($F$5:F27),G26*F27))</f>
        <v>0.79390807060028801</v>
      </c>
      <c r="H27" s="63">
        <f t="shared" si="5"/>
        <v>0.95347413159999994</v>
      </c>
      <c r="I27" s="63">
        <f t="shared" si="5"/>
        <v>0.63029002456427186</v>
      </c>
      <c r="J27" s="60">
        <f t="shared" si="6"/>
        <v>0.95752611663630416</v>
      </c>
      <c r="K27" s="10">
        <f t="shared" si="0"/>
        <v>0.40572633331788732</v>
      </c>
      <c r="L27" s="60">
        <f t="shared" si="7"/>
        <v>0.38849356035896337</v>
      </c>
      <c r="N27" s="13">
        <f t="shared" si="8"/>
        <v>4787.6305831815207</v>
      </c>
      <c r="O27" s="11">
        <f>(SUM(L28:$L$79)*$N$1)</f>
        <v>19843.53204419159</v>
      </c>
      <c r="P27" s="11">
        <f t="shared" si="9"/>
        <v>-1942.4678017948172</v>
      </c>
      <c r="V27" s="65">
        <v>23</v>
      </c>
      <c r="W27" s="66">
        <f>Inputs!H30</f>
        <v>5.13E-4</v>
      </c>
    </row>
    <row r="28" spans="1:23" x14ac:dyDescent="0.25">
      <c r="A28">
        <f t="shared" si="1"/>
        <v>78</v>
      </c>
      <c r="B28">
        <v>24</v>
      </c>
      <c r="C28" s="12">
        <f t="shared" si="2"/>
        <v>2.6374999999999999E-2</v>
      </c>
      <c r="D28" s="61">
        <f t="shared" si="3"/>
        <v>0.97362499999999996</v>
      </c>
      <c r="E28" s="198">
        <f>IF(B28&lt;=$C$2,1,IF(B28=$C$2+1,PRODUCT($D$5:D28),E27*D28))</f>
        <v>0.77296874523820536</v>
      </c>
      <c r="F28" s="62">
        <f t="shared" si="4"/>
        <v>0.97362499999999996</v>
      </c>
      <c r="G28" s="198">
        <f>IF(B28&lt;=$C$2,1,IF(B28=$C$2+1,PRODUCT($F$5:F28),G27*F28))</f>
        <v>0.77296874523820536</v>
      </c>
      <c r="H28" s="63">
        <f t="shared" si="5"/>
        <v>0.94794564062499997</v>
      </c>
      <c r="I28" s="63">
        <f t="shared" si="5"/>
        <v>0.59748068111512564</v>
      </c>
      <c r="J28" s="60">
        <f t="shared" si="6"/>
        <v>0.94845680936128507</v>
      </c>
      <c r="K28" s="10">
        <f t="shared" si="0"/>
        <v>0.39012147434412242</v>
      </c>
      <c r="L28" s="60">
        <f t="shared" si="7"/>
        <v>0.37001336881974678</v>
      </c>
      <c r="N28" s="13">
        <f t="shared" si="8"/>
        <v>4742.2840468064251</v>
      </c>
      <c r="O28" s="11">
        <f>(SUM(L29:$L$79)*$N$1)</f>
        <v>17993.465200092858</v>
      </c>
      <c r="P28" s="11">
        <f t="shared" si="9"/>
        <v>-1850.066844098732</v>
      </c>
      <c r="V28" s="65">
        <v>24</v>
      </c>
      <c r="W28" s="66">
        <f>Inputs!H31</f>
        <v>5.5400000000000002E-4</v>
      </c>
    </row>
    <row r="29" spans="1:23" x14ac:dyDescent="0.25">
      <c r="A29">
        <f t="shared" si="1"/>
        <v>79</v>
      </c>
      <c r="B29">
        <v>25</v>
      </c>
      <c r="C29" s="12">
        <f t="shared" si="2"/>
        <v>2.9572000000000001E-2</v>
      </c>
      <c r="D29" s="61">
        <f t="shared" si="3"/>
        <v>0.97042799999999996</v>
      </c>
      <c r="E29" s="198">
        <f>IF(B29&lt;=$C$2,1,IF(B29=$C$2+1,PRODUCT($D$5:D29),E28*D29))</f>
        <v>0.75011051350402114</v>
      </c>
      <c r="F29" s="62">
        <f t="shared" si="4"/>
        <v>0.97042799999999996</v>
      </c>
      <c r="G29" s="198">
        <f>IF(B29&lt;=$C$2,1,IF(B29=$C$2+1,PRODUCT($F$5:F29),G28*F29))</f>
        <v>0.75011051350402114</v>
      </c>
      <c r="H29" s="63">
        <f t="shared" si="5"/>
        <v>0.94173050318399987</v>
      </c>
      <c r="I29" s="63">
        <f t="shared" si="5"/>
        <v>0.56266578246926624</v>
      </c>
      <c r="J29" s="60">
        <f t="shared" si="6"/>
        <v>0.93755524453877603</v>
      </c>
      <c r="K29" s="10">
        <f t="shared" si="0"/>
        <v>0.37511680225396377</v>
      </c>
      <c r="L29" s="60">
        <f t="shared" si="7"/>
        <v>0.3516927252678187</v>
      </c>
      <c r="N29" s="13">
        <f t="shared" si="8"/>
        <v>4687.7762226938803</v>
      </c>
      <c r="O29" s="11">
        <f>(SUM(L30:$L$79)*$N$1)</f>
        <v>16235.001573753765</v>
      </c>
      <c r="P29" s="11">
        <f t="shared" si="9"/>
        <v>-1758.463626339093</v>
      </c>
      <c r="V29" s="65">
        <v>25</v>
      </c>
      <c r="W29" s="66">
        <f>Inputs!H32</f>
        <v>6.02E-4</v>
      </c>
    </row>
    <row r="30" spans="1:23" x14ac:dyDescent="0.25">
      <c r="A30">
        <f t="shared" si="1"/>
        <v>80</v>
      </c>
      <c r="B30">
        <v>26</v>
      </c>
      <c r="C30" s="12">
        <f t="shared" si="2"/>
        <v>3.3234E-2</v>
      </c>
      <c r="D30" s="61">
        <f t="shared" si="3"/>
        <v>0.96676600000000001</v>
      </c>
      <c r="E30" s="198">
        <f>IF(B30&lt;=$C$2,1,IF(B30=$C$2+1,PRODUCT($D$5:D30),E29*D30))</f>
        <v>0.72518134069822848</v>
      </c>
      <c r="F30" s="62">
        <f t="shared" si="4"/>
        <v>0.96676600000000001</v>
      </c>
      <c r="G30" s="198">
        <f>IF(B30&lt;=$C$2,1,IF(B30=$C$2+1,PRODUCT($F$5:F30),G29*F30))</f>
        <v>0.72518134069822848</v>
      </c>
      <c r="H30" s="63">
        <f t="shared" si="5"/>
        <v>0.93463649875600008</v>
      </c>
      <c r="I30" s="63">
        <f t="shared" si="5"/>
        <v>0.52588797689688016</v>
      </c>
      <c r="J30" s="60">
        <f t="shared" si="6"/>
        <v>0.9244747044995768</v>
      </c>
      <c r="K30" s="10">
        <f t="shared" si="0"/>
        <v>0.36068923293650368</v>
      </c>
      <c r="L30" s="60">
        <f t="shared" si="7"/>
        <v>0.33344807203515325</v>
      </c>
      <c r="N30" s="13">
        <f t="shared" si="8"/>
        <v>4622.3735224978836</v>
      </c>
      <c r="O30" s="11">
        <f>(SUM(L31:$L$79)*$N$1)</f>
        <v>14567.761213577996</v>
      </c>
      <c r="P30" s="11">
        <f t="shared" si="9"/>
        <v>-1667.2403601757687</v>
      </c>
      <c r="V30" s="65">
        <v>26</v>
      </c>
      <c r="W30" s="66">
        <f>Inputs!H33</f>
        <v>6.5499999999999998E-4</v>
      </c>
    </row>
    <row r="31" spans="1:23" x14ac:dyDescent="0.25">
      <c r="A31">
        <f t="shared" si="1"/>
        <v>81</v>
      </c>
      <c r="B31">
        <v>27</v>
      </c>
      <c r="C31" s="12">
        <f t="shared" si="2"/>
        <v>3.7532999999999997E-2</v>
      </c>
      <c r="D31" s="61">
        <f t="shared" si="3"/>
        <v>0.96246699999999996</v>
      </c>
      <c r="E31" s="198">
        <f>IF(B31&lt;=$C$2,1,IF(B31=$C$2+1,PRODUCT($D$5:D31),E30*D31))</f>
        <v>0.69796310943780182</v>
      </c>
      <c r="F31" s="62">
        <f t="shared" si="4"/>
        <v>0.96246699999999996</v>
      </c>
      <c r="G31" s="198">
        <f>IF(B31&lt;=$C$2,1,IF(B31=$C$2+1,PRODUCT($F$5:F31),G30*F31))</f>
        <v>0.69796310943780182</v>
      </c>
      <c r="H31" s="63">
        <f t="shared" si="5"/>
        <v>0.92634272608899992</v>
      </c>
      <c r="I31" s="63">
        <f t="shared" si="5"/>
        <v>0.48715250213608491</v>
      </c>
      <c r="J31" s="60">
        <f t="shared" si="6"/>
        <v>0.90877371673951868</v>
      </c>
      <c r="K31" s="10">
        <f t="shared" si="0"/>
        <v>0.3468165701312535</v>
      </c>
      <c r="L31" s="60">
        <f t="shared" si="7"/>
        <v>0.31517778346503117</v>
      </c>
      <c r="N31" s="13">
        <f t="shared" si="8"/>
        <v>4543.8685836975937</v>
      </c>
      <c r="O31" s="11">
        <f>(SUM(L32:$L$79)*$N$1)</f>
        <v>12991.872296252843</v>
      </c>
      <c r="P31" s="11">
        <f t="shared" si="9"/>
        <v>-1575.8889173251537</v>
      </c>
      <c r="V31" s="65">
        <v>27</v>
      </c>
      <c r="W31" s="66">
        <f>Inputs!H34</f>
        <v>6.8800000000000003E-4</v>
      </c>
    </row>
    <row r="32" spans="1:23" x14ac:dyDescent="0.25">
      <c r="A32">
        <f t="shared" si="1"/>
        <v>82</v>
      </c>
      <c r="B32">
        <v>28</v>
      </c>
      <c r="C32" s="12">
        <f t="shared" si="2"/>
        <v>4.2261E-2</v>
      </c>
      <c r="D32" s="61">
        <f t="shared" si="3"/>
        <v>0.95773900000000001</v>
      </c>
      <c r="E32" s="198">
        <f>IF(B32&lt;=$C$2,1,IF(B32=$C$2+1,PRODUCT($D$5:D32),E31*D32))</f>
        <v>0.66846649046985085</v>
      </c>
      <c r="F32" s="62">
        <f t="shared" si="4"/>
        <v>0.95773900000000001</v>
      </c>
      <c r="G32" s="198">
        <f>IF(B32&lt;=$C$2,1,IF(B32=$C$2+1,PRODUCT($F$5:F32),G31*F32))</f>
        <v>0.66846649046985085</v>
      </c>
      <c r="H32" s="63">
        <f t="shared" si="5"/>
        <v>0.91726399212099996</v>
      </c>
      <c r="I32" s="63">
        <f t="shared" si="5"/>
        <v>0.44684744888107919</v>
      </c>
      <c r="J32" s="60">
        <f t="shared" si="6"/>
        <v>0.89008553205862251</v>
      </c>
      <c r="K32" s="10">
        <f t="shared" si="0"/>
        <v>0.3334774712800514</v>
      </c>
      <c r="L32" s="60">
        <f t="shared" si="7"/>
        <v>0.29682347245386853</v>
      </c>
      <c r="N32" s="13">
        <f t="shared" si="8"/>
        <v>4450.4276602931122</v>
      </c>
      <c r="O32" s="11">
        <f>(SUM(L33:$L$79)*$N$1)</f>
        <v>11507.754933983499</v>
      </c>
      <c r="P32" s="11">
        <f t="shared" si="9"/>
        <v>-1484.1173622693441</v>
      </c>
      <c r="V32" s="65">
        <v>28</v>
      </c>
      <c r="W32" s="66">
        <f>Inputs!H35</f>
        <v>7.1000000000000002E-4</v>
      </c>
    </row>
    <row r="33" spans="1:23" x14ac:dyDescent="0.25">
      <c r="A33">
        <f t="shared" si="1"/>
        <v>83</v>
      </c>
      <c r="B33">
        <v>29</v>
      </c>
      <c r="C33" s="12">
        <f t="shared" si="2"/>
        <v>4.7440999999999997E-2</v>
      </c>
      <c r="D33" s="61">
        <f t="shared" si="3"/>
        <v>0.95255900000000004</v>
      </c>
      <c r="E33" s="198">
        <f>IF(B33&lt;=$C$2,1,IF(B33=$C$2+1,PRODUCT($D$5:D33),E32*D33))</f>
        <v>0.63675377169547065</v>
      </c>
      <c r="F33" s="62">
        <f t="shared" si="4"/>
        <v>0.95255900000000004</v>
      </c>
      <c r="G33" s="198">
        <f>IF(B33&lt;=$C$2,1,IF(B33=$C$2+1,PRODUCT($F$5:F33),G32*F33))</f>
        <v>0.63675377169547065</v>
      </c>
      <c r="H33" s="63">
        <f t="shared" si="5"/>
        <v>0.90736864848100007</v>
      </c>
      <c r="I33" s="63">
        <f t="shared" si="5"/>
        <v>0.40545536576840757</v>
      </c>
      <c r="J33" s="60">
        <f t="shared" si="6"/>
        <v>0.86805217762253373</v>
      </c>
      <c r="K33" s="10">
        <f t="shared" si="0"/>
        <v>0.32065141469235708</v>
      </c>
      <c r="L33" s="60">
        <f t="shared" si="7"/>
        <v>0.27834215878144669</v>
      </c>
      <c r="N33" s="13">
        <f t="shared" si="8"/>
        <v>4340.2608881126689</v>
      </c>
      <c r="O33" s="11">
        <f>(SUM(L34:$L$79)*$N$1)</f>
        <v>10116.044140076263</v>
      </c>
      <c r="P33" s="11">
        <f t="shared" si="9"/>
        <v>-1391.7107939072357</v>
      </c>
      <c r="V33" s="65">
        <v>29</v>
      </c>
      <c r="W33" s="66">
        <f>Inputs!H36</f>
        <v>7.27E-4</v>
      </c>
    </row>
    <row r="34" spans="1:23" x14ac:dyDescent="0.25">
      <c r="A34">
        <f t="shared" si="1"/>
        <v>84</v>
      </c>
      <c r="B34">
        <v>30</v>
      </c>
      <c r="C34" s="12">
        <f t="shared" si="2"/>
        <v>5.3233000000000003E-2</v>
      </c>
      <c r="D34" s="61">
        <f t="shared" si="3"/>
        <v>0.94676700000000003</v>
      </c>
      <c r="E34" s="198">
        <f>IF(B34&lt;=$C$2,1,IF(B34=$C$2+1,PRODUCT($D$5:D34),E33*D34))</f>
        <v>0.60285745816680569</v>
      </c>
      <c r="F34" s="62">
        <f t="shared" si="4"/>
        <v>0.94676700000000003</v>
      </c>
      <c r="G34" s="198">
        <f>IF(B34&lt;=$C$2,1,IF(B34=$C$2+1,PRODUCT($F$5:F34),G33*F34))</f>
        <v>0.60285745816680569</v>
      </c>
      <c r="H34" s="63">
        <f t="shared" si="5"/>
        <v>0.89636775228900001</v>
      </c>
      <c r="I34" s="63">
        <f t="shared" si="5"/>
        <v>0.36343711486734187</v>
      </c>
      <c r="J34" s="60">
        <f t="shared" si="6"/>
        <v>0.84227780146626952</v>
      </c>
      <c r="K34" s="10">
        <f t="shared" si="0"/>
        <v>0.30831866797342034</v>
      </c>
      <c r="L34" s="60">
        <f t="shared" si="7"/>
        <v>0.2596899698116612</v>
      </c>
      <c r="N34" s="13">
        <f t="shared" si="8"/>
        <v>4211.3890073313478</v>
      </c>
      <c r="O34" s="11">
        <f>(SUM(L35:$L$79)*$N$1)</f>
        <v>8817.5942910179656</v>
      </c>
      <c r="P34" s="11">
        <f t="shared" si="9"/>
        <v>-1298.4498490582973</v>
      </c>
      <c r="V34" s="65">
        <v>30</v>
      </c>
      <c r="W34" s="66">
        <f>Inputs!H37</f>
        <v>7.4100000000000001E-4</v>
      </c>
    </row>
    <row r="35" spans="1:23" x14ac:dyDescent="0.25">
      <c r="A35">
        <f t="shared" si="1"/>
        <v>85</v>
      </c>
      <c r="B35">
        <v>31</v>
      </c>
      <c r="C35" s="12">
        <f t="shared" si="2"/>
        <v>5.9854999999999998E-2</v>
      </c>
      <c r="D35" s="61">
        <f t="shared" si="3"/>
        <v>0.94014500000000001</v>
      </c>
      <c r="E35" s="198">
        <f>IF(B35&lt;=$C$2,1,IF(B35=$C$2+1,PRODUCT($D$5:D35),E34*D35))</f>
        <v>0.56677342500823158</v>
      </c>
      <c r="F35" s="62">
        <f t="shared" si="4"/>
        <v>0.94014500000000001</v>
      </c>
      <c r="G35" s="198">
        <f>IF(B35&lt;=$C$2,1,IF(B35=$C$2+1,PRODUCT($F$5:F35),G34*F35))</f>
        <v>0.56677342500823158</v>
      </c>
      <c r="H35" s="63">
        <f t="shared" ref="H35:I70" si="11">+D35*F35</f>
        <v>0.88387262102499997</v>
      </c>
      <c r="I35" s="63">
        <f t="shared" si="11"/>
        <v>0.3212321152955615</v>
      </c>
      <c r="J35" s="60">
        <f t="shared" si="6"/>
        <v>0.81231473472090165</v>
      </c>
      <c r="K35" s="10">
        <f t="shared" si="0"/>
        <v>0.29646025766675027</v>
      </c>
      <c r="L35" s="60">
        <f t="shared" si="7"/>
        <v>0.24081903556185641</v>
      </c>
      <c r="N35" s="13">
        <f t="shared" si="8"/>
        <v>4061.5736736045083</v>
      </c>
      <c r="O35" s="11">
        <f>(SUM(L36:$L$79)*$N$1)</f>
        <v>7613.4991132086816</v>
      </c>
      <c r="P35" s="11">
        <f t="shared" si="9"/>
        <v>-1204.095177809284</v>
      </c>
      <c r="V35" s="65">
        <v>31</v>
      </c>
      <c r="W35" s="66">
        <f>Inputs!H38</f>
        <v>7.5100000000000004E-4</v>
      </c>
    </row>
    <row r="36" spans="1:23" x14ac:dyDescent="0.25">
      <c r="A36">
        <f t="shared" si="1"/>
        <v>86</v>
      </c>
      <c r="B36">
        <v>32</v>
      </c>
      <c r="C36" s="12">
        <f t="shared" si="2"/>
        <v>6.7514000000000005E-2</v>
      </c>
      <c r="D36" s="61">
        <f t="shared" si="3"/>
        <v>0.93248600000000004</v>
      </c>
      <c r="E36" s="198">
        <f>IF(B36&lt;=$C$2,1,IF(B36=$C$2+1,PRODUCT($D$5:D36),E35*D36))</f>
        <v>0.52850828399222582</v>
      </c>
      <c r="F36" s="62">
        <f t="shared" si="4"/>
        <v>0.93248600000000004</v>
      </c>
      <c r="G36" s="198">
        <f>IF(B36&lt;=$C$2,1,IF(B36=$C$2+1,PRODUCT($F$5:F36),G35*F36))</f>
        <v>0.52850828399222582</v>
      </c>
      <c r="H36" s="63">
        <f t="shared" si="11"/>
        <v>0.86953014019600006</v>
      </c>
      <c r="I36" s="63">
        <f t="shared" si="11"/>
        <v>0.27932100624840722</v>
      </c>
      <c r="J36" s="60">
        <f t="shared" si="6"/>
        <v>0.77769556173604437</v>
      </c>
      <c r="K36" s="10">
        <f t="shared" si="0"/>
        <v>0.28505794006418295</v>
      </c>
      <c r="L36" s="60">
        <f t="shared" si="7"/>
        <v>0.22168829482553443</v>
      </c>
      <c r="N36" s="13">
        <f t="shared" si="8"/>
        <v>3888.4778086802216</v>
      </c>
      <c r="O36" s="11">
        <f>(SUM(L37:$L$79)*$N$1)</f>
        <v>6505.0576390810093</v>
      </c>
      <c r="P36" s="11">
        <f t="shared" si="9"/>
        <v>-1108.4414741276723</v>
      </c>
      <c r="V36" s="65">
        <v>32</v>
      </c>
      <c r="W36" s="66">
        <f>Inputs!H39</f>
        <v>7.54E-4</v>
      </c>
    </row>
    <row r="37" spans="1:23" x14ac:dyDescent="0.25">
      <c r="A37">
        <f t="shared" si="1"/>
        <v>87</v>
      </c>
      <c r="B37">
        <v>33</v>
      </c>
      <c r="C37" s="12">
        <f t="shared" si="2"/>
        <v>7.6340000000000005E-2</v>
      </c>
      <c r="D37" s="61">
        <f t="shared" si="3"/>
        <v>0.92366000000000004</v>
      </c>
      <c r="E37" s="198">
        <f>IF(B37&lt;=$C$2,1,IF(B37=$C$2+1,PRODUCT($D$5:D37),E36*D37))</f>
        <v>0.48816196159225933</v>
      </c>
      <c r="F37" s="62">
        <f t="shared" si="4"/>
        <v>0.92366000000000004</v>
      </c>
      <c r="G37" s="198">
        <f>IF(B37&lt;=$C$2,1,IF(B37=$C$2+1,PRODUCT($F$5:F37),G36*F37))</f>
        <v>0.48816196159225933</v>
      </c>
      <c r="H37" s="63">
        <f t="shared" si="11"/>
        <v>0.85314779560000009</v>
      </c>
      <c r="I37" s="63">
        <f t="shared" si="11"/>
        <v>0.23830210074560249</v>
      </c>
      <c r="J37" s="60">
        <f t="shared" si="6"/>
        <v>0.73802182243891612</v>
      </c>
      <c r="K37" s="10">
        <f t="shared" si="0"/>
        <v>0.27409417313863743</v>
      </c>
      <c r="L37" s="60">
        <f t="shared" si="7"/>
        <v>0.202287481179665</v>
      </c>
      <c r="N37" s="13">
        <f t="shared" si="8"/>
        <v>3690.1091121945806</v>
      </c>
      <c r="O37" s="11">
        <f>(SUM(L38:$L$79)*$N$1)</f>
        <v>5493.6202331826844</v>
      </c>
      <c r="P37" s="11">
        <f t="shared" si="9"/>
        <v>-1011.4374058983249</v>
      </c>
      <c r="V37" s="65">
        <v>33</v>
      </c>
      <c r="W37" s="66">
        <f>Inputs!H40</f>
        <v>7.5600000000000005E-4</v>
      </c>
    </row>
    <row r="38" spans="1:23" x14ac:dyDescent="0.25">
      <c r="A38">
        <f t="shared" si="1"/>
        <v>88</v>
      </c>
      <c r="B38">
        <v>34</v>
      </c>
      <c r="C38" s="12">
        <f t="shared" si="2"/>
        <v>8.6388000000000006E-2</v>
      </c>
      <c r="D38" s="61">
        <f t="shared" si="3"/>
        <v>0.91361199999999998</v>
      </c>
      <c r="E38" s="198">
        <f>IF(B38&lt;=$C$2,1,IF(B38=$C$2+1,PRODUCT($D$5:D38),E37*D38))</f>
        <v>0.44599062605422723</v>
      </c>
      <c r="F38" s="62">
        <f t="shared" si="4"/>
        <v>0.91361199999999998</v>
      </c>
      <c r="G38" s="198">
        <f>IF(B38&lt;=$C$2,1,IF(B38=$C$2+1,PRODUCT($F$5:F38),G37*F38))</f>
        <v>0.44599062605422723</v>
      </c>
      <c r="H38" s="63">
        <f t="shared" si="11"/>
        <v>0.83468688654399992</v>
      </c>
      <c r="I38" s="63">
        <f t="shared" si="11"/>
        <v>0.19890763852824156</v>
      </c>
      <c r="J38" s="60">
        <f t="shared" si="6"/>
        <v>0.69307361358021291</v>
      </c>
      <c r="K38" s="10">
        <f t="shared" si="0"/>
        <v>0.26355208955638215</v>
      </c>
      <c r="L38" s="60">
        <f t="shared" si="7"/>
        <v>0.18266099907545766</v>
      </c>
      <c r="N38" s="13">
        <f t="shared" si="8"/>
        <v>3465.3680679010645</v>
      </c>
      <c r="O38" s="11">
        <f>(SUM(L39:$L$79)*$N$1)</f>
        <v>4580.3152378053937</v>
      </c>
      <c r="P38" s="11">
        <f t="shared" si="9"/>
        <v>-913.30499537729065</v>
      </c>
      <c r="V38" s="65">
        <v>34</v>
      </c>
      <c r="W38" s="66">
        <f>Inputs!H41</f>
        <v>7.5600000000000005E-4</v>
      </c>
    </row>
    <row r="39" spans="1:23" x14ac:dyDescent="0.25">
      <c r="A39">
        <f t="shared" si="1"/>
        <v>89</v>
      </c>
      <c r="B39">
        <v>35</v>
      </c>
      <c r="C39" s="12">
        <f t="shared" si="2"/>
        <v>9.7633999999999999E-2</v>
      </c>
      <c r="D39" s="61">
        <f t="shared" si="3"/>
        <v>0.902366</v>
      </c>
      <c r="E39" s="198">
        <f>IF(B39&lt;=$C$2,1,IF(B39=$C$2+1,PRODUCT($D$5:D39),E38*D39))</f>
        <v>0.40244677727004879</v>
      </c>
      <c r="F39" s="62">
        <f t="shared" si="4"/>
        <v>0.902366</v>
      </c>
      <c r="G39" s="198">
        <f>IF(B39&lt;=$C$2,1,IF(B39=$C$2+1,PRODUCT($F$5:F39),G38*F39))</f>
        <v>0.40244677727004879</v>
      </c>
      <c r="H39" s="63">
        <f t="shared" si="11"/>
        <v>0.81426439795600003</v>
      </c>
      <c r="I39" s="63">
        <f t="shared" si="11"/>
        <v>0.16196340853504826</v>
      </c>
      <c r="J39" s="60">
        <f t="shared" si="6"/>
        <v>0.64293014600504939</v>
      </c>
      <c r="K39" s="10">
        <f t="shared" si="0"/>
        <v>0.25341547072729048</v>
      </c>
      <c r="L39" s="60">
        <f t="shared" si="7"/>
        <v>0.16292844559463518</v>
      </c>
      <c r="N39" s="13">
        <f t="shared" si="8"/>
        <v>3214.650730025247</v>
      </c>
      <c r="O39" s="11">
        <f>(SUM(L40:$L$79)*$N$1)</f>
        <v>3765.6730098322182</v>
      </c>
      <c r="P39" s="11">
        <f t="shared" si="9"/>
        <v>-814.64222797317552</v>
      </c>
      <c r="V39" s="65">
        <v>35</v>
      </c>
      <c r="W39" s="66">
        <f>Inputs!H42</f>
        <v>7.5600000000000005E-4</v>
      </c>
    </row>
    <row r="40" spans="1:23" x14ac:dyDescent="0.25">
      <c r="A40">
        <f t="shared" si="1"/>
        <v>90</v>
      </c>
      <c r="B40">
        <v>36</v>
      </c>
      <c r="C40" s="12">
        <f t="shared" si="2"/>
        <v>0.10999299999999999</v>
      </c>
      <c r="D40" s="61">
        <f t="shared" si="3"/>
        <v>0.89000699999999999</v>
      </c>
      <c r="E40" s="198">
        <f>IF(B40&lt;=$C$2,1,IF(B40=$C$2+1,PRODUCT($D$5:D40),E39*D40))</f>
        <v>0.35818044889778433</v>
      </c>
      <c r="F40" s="62">
        <f t="shared" si="4"/>
        <v>0.89000699999999999</v>
      </c>
      <c r="G40" s="198">
        <f>IF(B40&lt;=$C$2,1,IF(B40=$C$2+1,PRODUCT($F$5:F40),G39*F40))</f>
        <v>0.35818044889778433</v>
      </c>
      <c r="H40" s="63">
        <f t="shared" si="11"/>
        <v>0.79211246004899993</v>
      </c>
      <c r="I40" s="63">
        <f t="shared" si="11"/>
        <v>0.1282932339726183</v>
      </c>
      <c r="J40" s="60">
        <f t="shared" si="6"/>
        <v>0.58806766382295039</v>
      </c>
      <c r="K40" s="10">
        <f t="shared" si="0"/>
        <v>0.24366872185316396</v>
      </c>
      <c r="L40" s="60">
        <f t="shared" si="7"/>
        <v>0.14329369600691444</v>
      </c>
      <c r="N40" s="13">
        <f t="shared" si="8"/>
        <v>2940.3383191147518</v>
      </c>
      <c r="O40" s="11">
        <f>(SUM(L41:$L$79)*$N$1)</f>
        <v>3049.204529797646</v>
      </c>
      <c r="P40" s="11">
        <f t="shared" si="9"/>
        <v>-716.46848003457217</v>
      </c>
      <c r="V40" s="65">
        <v>36</v>
      </c>
      <c r="W40" s="66">
        <f>Inputs!H43</f>
        <v>7.5600000000000005E-4</v>
      </c>
    </row>
    <row r="41" spans="1:23" x14ac:dyDescent="0.25">
      <c r="A41">
        <f t="shared" si="1"/>
        <v>91</v>
      </c>
      <c r="B41">
        <v>37</v>
      </c>
      <c r="C41" s="12">
        <f t="shared" si="2"/>
        <v>0.12311900000000001</v>
      </c>
      <c r="D41" s="61">
        <f t="shared" si="3"/>
        <v>0.87688100000000002</v>
      </c>
      <c r="E41" s="198">
        <f>IF(B41&lt;=$C$2,1,IF(B41=$C$2+1,PRODUCT($D$5:D41),E40*D41))</f>
        <v>0.31408163020993801</v>
      </c>
      <c r="F41" s="62">
        <f t="shared" si="4"/>
        <v>0.87688100000000002</v>
      </c>
      <c r="G41" s="198">
        <f>IF(B41&lt;=$C$2,1,IF(B41=$C$2+1,PRODUCT($F$5:F41),G40*F41))</f>
        <v>0.31408163020993801</v>
      </c>
      <c r="H41" s="63">
        <f t="shared" si="11"/>
        <v>0.768920288161</v>
      </c>
      <c r="I41" s="63">
        <f t="shared" si="11"/>
        <v>9.8647270435332252E-2</v>
      </c>
      <c r="J41" s="60">
        <f t="shared" si="6"/>
        <v>0.52951598998454374</v>
      </c>
      <c r="K41" s="10">
        <f t="shared" si="0"/>
        <v>0.23429684793573452</v>
      </c>
      <c r="L41" s="60">
        <f t="shared" si="7"/>
        <v>0.12406392738494856</v>
      </c>
      <c r="N41" s="13">
        <f t="shared" si="8"/>
        <v>2647.5799499227187</v>
      </c>
      <c r="O41" s="11">
        <f>(SUM(L42:$L$79)*$N$1)</f>
        <v>2428.8848928729044</v>
      </c>
      <c r="P41" s="11">
        <f t="shared" si="9"/>
        <v>-620.31963692474164</v>
      </c>
      <c r="V41" s="65">
        <v>37</v>
      </c>
      <c r="W41" s="66">
        <f>Inputs!H44</f>
        <v>7.5600000000000005E-4</v>
      </c>
    </row>
    <row r="42" spans="1:23" x14ac:dyDescent="0.25">
      <c r="A42">
        <f t="shared" si="1"/>
        <v>92</v>
      </c>
      <c r="B42">
        <v>38</v>
      </c>
      <c r="C42" s="12">
        <f t="shared" si="2"/>
        <v>0.13716800000000001</v>
      </c>
      <c r="D42" s="61">
        <f t="shared" si="3"/>
        <v>0.86283200000000004</v>
      </c>
      <c r="E42" s="198">
        <f>IF(B42&lt;=$C$2,1,IF(B42=$C$2+1,PRODUCT($D$5:D42),E41*D42))</f>
        <v>0.27099968115730128</v>
      </c>
      <c r="F42" s="62">
        <f t="shared" si="4"/>
        <v>0.86283200000000004</v>
      </c>
      <c r="G42" s="198">
        <f>IF(B42&lt;=$C$2,1,IF(B42=$C$2+1,PRODUCT($F$5:F42),G41*F42))</f>
        <v>0.27099968115730128</v>
      </c>
      <c r="H42" s="63">
        <f t="shared" si="11"/>
        <v>0.74447906022400012</v>
      </c>
      <c r="I42" s="63">
        <f t="shared" si="11"/>
        <v>7.3440827187358948E-2</v>
      </c>
      <c r="J42" s="60">
        <f t="shared" si="6"/>
        <v>0.4685585351272436</v>
      </c>
      <c r="K42" s="10">
        <f t="shared" si="0"/>
        <v>0.22528543070743706</v>
      </c>
      <c r="L42" s="60">
        <f t="shared" si="7"/>
        <v>0.10555941139778685</v>
      </c>
      <c r="N42" s="13">
        <f t="shared" si="8"/>
        <v>2342.7926756362181</v>
      </c>
      <c r="O42" s="11">
        <f>(SUM(L43:$L$79)*$N$1)</f>
        <v>1901.0878358839702</v>
      </c>
      <c r="P42" s="11">
        <f t="shared" si="9"/>
        <v>-527.79705698893417</v>
      </c>
      <c r="V42" s="65">
        <v>38</v>
      </c>
      <c r="W42" s="66">
        <f>Inputs!H45</f>
        <v>7.5600000000000005E-4</v>
      </c>
    </row>
    <row r="43" spans="1:23" x14ac:dyDescent="0.25">
      <c r="A43">
        <f t="shared" si="1"/>
        <v>93</v>
      </c>
      <c r="B43">
        <v>39</v>
      </c>
      <c r="C43" s="12">
        <f t="shared" si="2"/>
        <v>0.152171</v>
      </c>
      <c r="D43" s="61">
        <f t="shared" si="3"/>
        <v>0.84782899999999994</v>
      </c>
      <c r="E43" s="198">
        <f>IF(B43&lt;=$C$2,1,IF(B43=$C$2+1,PRODUCT($D$5:D43),E42*D43))</f>
        <v>0.22976138867591356</v>
      </c>
      <c r="F43" s="62">
        <f t="shared" si="4"/>
        <v>0.84782899999999994</v>
      </c>
      <c r="G43" s="198">
        <f>IF(B43&lt;=$C$2,1,IF(B43=$C$2+1,PRODUCT($F$5:F43),G42*F43))</f>
        <v>0.22976138867591356</v>
      </c>
      <c r="H43" s="63">
        <f t="shared" si="11"/>
        <v>0.71881401324099992</v>
      </c>
      <c r="I43" s="63">
        <f t="shared" si="11"/>
        <v>5.2790295726284221E-2</v>
      </c>
      <c r="J43" s="60">
        <f t="shared" si="6"/>
        <v>0.40673248162554287</v>
      </c>
      <c r="K43" s="10">
        <f t="shared" si="0"/>
        <v>0.21662060644945874</v>
      </c>
      <c r="L43" s="60">
        <f t="shared" si="7"/>
        <v>8.8106636832418428E-2</v>
      </c>
      <c r="N43" s="13">
        <f t="shared" si="8"/>
        <v>2033.6624081277143</v>
      </c>
      <c r="O43" s="11">
        <f>(SUM(L44:$L$79)*$N$1)</f>
        <v>1460.5546517218781</v>
      </c>
      <c r="P43" s="11">
        <f t="shared" si="9"/>
        <v>-440.53318416209208</v>
      </c>
      <c r="V43" s="65">
        <v>39</v>
      </c>
      <c r="W43" s="66">
        <f>Inputs!H46</f>
        <v>8.0000000000000004E-4</v>
      </c>
    </row>
    <row r="44" spans="1:23" x14ac:dyDescent="0.25">
      <c r="A44">
        <f t="shared" si="1"/>
        <v>94</v>
      </c>
      <c r="B44">
        <v>40</v>
      </c>
      <c r="C44" s="12">
        <f t="shared" si="2"/>
        <v>0.16819400000000001</v>
      </c>
      <c r="D44" s="61">
        <f t="shared" si="3"/>
        <v>0.83180600000000005</v>
      </c>
      <c r="E44" s="198">
        <f>IF(B44&lt;=$C$2,1,IF(B44=$C$2+1,PRODUCT($D$5:D44),E43*D44))</f>
        <v>0.19111690166895695</v>
      </c>
      <c r="F44" s="62">
        <f t="shared" si="4"/>
        <v>0.83180600000000005</v>
      </c>
      <c r="G44" s="198">
        <f>IF(B44&lt;=$C$2,1,IF(B44=$C$2+1,PRODUCT($F$5:F44),G43*F44))</f>
        <v>0.19111690166895695</v>
      </c>
      <c r="H44" s="63">
        <f t="shared" si="11"/>
        <v>0.6919012216360001</v>
      </c>
      <c r="I44" s="63">
        <f t="shared" si="11"/>
        <v>3.6525670103541762E-2</v>
      </c>
      <c r="J44" s="60">
        <f t="shared" si="6"/>
        <v>0.34570813323437216</v>
      </c>
      <c r="K44" s="10">
        <f t="shared" si="0"/>
        <v>0.20828904466294101</v>
      </c>
      <c r="L44" s="60">
        <f t="shared" si="7"/>
        <v>7.2007216803596105E-2</v>
      </c>
      <c r="N44" s="13">
        <f t="shared" si="8"/>
        <v>1728.5406661718607</v>
      </c>
      <c r="O44" s="11">
        <f>(SUM(L45:$L$79)*$N$1)</f>
        <v>1100.5185677038974</v>
      </c>
      <c r="P44" s="11">
        <f t="shared" si="9"/>
        <v>-360.03608401798078</v>
      </c>
      <c r="V44" s="65">
        <v>40</v>
      </c>
      <c r="W44" s="66">
        <f>Inputs!H47</f>
        <v>8.5899999999999995E-4</v>
      </c>
    </row>
    <row r="45" spans="1:23" x14ac:dyDescent="0.25">
      <c r="A45">
        <f t="shared" si="1"/>
        <v>95</v>
      </c>
      <c r="B45">
        <v>41</v>
      </c>
      <c r="C45" s="12">
        <f t="shared" si="2"/>
        <v>0.18526000000000001</v>
      </c>
      <c r="D45" s="61">
        <f t="shared" si="3"/>
        <v>0.81474000000000002</v>
      </c>
      <c r="E45" s="198">
        <f>IF(B45&lt;=$C$2,1,IF(B45=$C$2+1,PRODUCT($D$5:D45),E44*D45))</f>
        <v>0.15571058446576599</v>
      </c>
      <c r="F45" s="62">
        <f t="shared" si="4"/>
        <v>0.81474000000000002</v>
      </c>
      <c r="G45" s="198">
        <f>IF(B45&lt;=$C$2,1,IF(B45=$C$2+1,PRODUCT($F$5:F45),G44*F45))</f>
        <v>0.15571058446576599</v>
      </c>
      <c r="H45" s="63">
        <f t="shared" si="11"/>
        <v>0.66380126760000002</v>
      </c>
      <c r="I45" s="63">
        <f t="shared" si="11"/>
        <v>2.4245786114670445E-2</v>
      </c>
      <c r="J45" s="60">
        <f t="shared" si="6"/>
        <v>0.28717538281686156</v>
      </c>
      <c r="K45" s="10">
        <f t="shared" si="0"/>
        <v>0.20027792756052021</v>
      </c>
      <c r="L45" s="60">
        <f t="shared" si="7"/>
        <v>5.7514890516960057E-2</v>
      </c>
      <c r="N45" s="13">
        <f t="shared" si="8"/>
        <v>1435.8769140843078</v>
      </c>
      <c r="O45" s="11">
        <f>(SUM(L46:$L$79)*$N$1)</f>
        <v>812.94411511909709</v>
      </c>
      <c r="P45" s="11">
        <f t="shared" si="9"/>
        <v>-287.57445258480027</v>
      </c>
      <c r="V45" s="65">
        <v>41</v>
      </c>
      <c r="W45" s="66">
        <f>Inputs!H48</f>
        <v>9.2599999999999996E-4</v>
      </c>
    </row>
    <row r="46" spans="1:23" x14ac:dyDescent="0.25">
      <c r="A46">
        <f t="shared" si="1"/>
        <v>96</v>
      </c>
      <c r="B46">
        <v>42</v>
      </c>
      <c r="C46" s="12">
        <f t="shared" si="2"/>
        <v>0.197322</v>
      </c>
      <c r="D46" s="61">
        <f t="shared" si="3"/>
        <v>0.802678</v>
      </c>
      <c r="E46" s="198">
        <f>IF(B46&lt;=$C$2,1,IF(B46=$C$2+1,PRODUCT($D$5:D46),E45*D46))</f>
        <v>0.12498546051781212</v>
      </c>
      <c r="F46" s="62">
        <f t="shared" si="4"/>
        <v>0.802678</v>
      </c>
      <c r="G46" s="198">
        <f>IF(B46&lt;=$C$2,1,IF(B46=$C$2+1,PRODUCT($F$5:F46),G45*F46))</f>
        <v>0.12498546051781212</v>
      </c>
      <c r="H46" s="63">
        <f t="shared" si="11"/>
        <v>0.64429197168399999</v>
      </c>
      <c r="I46" s="63">
        <f t="shared" si="11"/>
        <v>1.5621365340849572E-2</v>
      </c>
      <c r="J46" s="60">
        <f t="shared" si="6"/>
        <v>0.23434955569477467</v>
      </c>
      <c r="K46" s="10">
        <f t="shared" si="0"/>
        <v>0.19257493034665407</v>
      </c>
      <c r="L46" s="60">
        <f t="shared" si="7"/>
        <v>4.5129849364690562E-2</v>
      </c>
      <c r="N46" s="13">
        <f t="shared" si="8"/>
        <v>1171.7477784738733</v>
      </c>
      <c r="O46" s="11">
        <f>(SUM(L47:$L$79)*$N$1)</f>
        <v>587.29486829564428</v>
      </c>
      <c r="P46" s="11">
        <f t="shared" si="9"/>
        <v>-225.64924682345281</v>
      </c>
      <c r="V46" s="65">
        <v>42</v>
      </c>
      <c r="W46" s="66">
        <f>Inputs!H49</f>
        <v>9.990000000000001E-4</v>
      </c>
    </row>
    <row r="47" spans="1:23" x14ac:dyDescent="0.25">
      <c r="A47">
        <f t="shared" si="1"/>
        <v>97</v>
      </c>
      <c r="B47">
        <v>43</v>
      </c>
      <c r="C47" s="12">
        <f t="shared" si="2"/>
        <v>0.214751</v>
      </c>
      <c r="D47" s="61">
        <f t="shared" si="3"/>
        <v>0.78524899999999997</v>
      </c>
      <c r="E47" s="198">
        <f>IF(B47&lt;=$C$2,1,IF(B47=$C$2+1,PRODUCT($D$5:D47),E46*D47))</f>
        <v>9.8144707886151442E-2</v>
      </c>
      <c r="F47" s="62">
        <f t="shared" si="4"/>
        <v>0.78524899999999997</v>
      </c>
      <c r="G47" s="198">
        <f>IF(B47&lt;=$C$2,1,IF(B47=$C$2+1,PRODUCT($F$5:F47),G46*F47))</f>
        <v>9.8144707886151442E-2</v>
      </c>
      <c r="H47" s="63">
        <f t="shared" si="11"/>
        <v>0.61661599200099992</v>
      </c>
      <c r="I47" s="63">
        <f t="shared" si="11"/>
        <v>9.6323836860579964E-3</v>
      </c>
      <c r="J47" s="60">
        <f t="shared" si="6"/>
        <v>0.1866570320862449</v>
      </c>
      <c r="K47" s="10">
        <f t="shared" si="0"/>
        <v>0.18516820225639813</v>
      </c>
      <c r="L47" s="60">
        <f t="shared" si="7"/>
        <v>3.4562947069924792E-2</v>
      </c>
      <c r="N47" s="13">
        <f t="shared" si="8"/>
        <v>933.28516043122454</v>
      </c>
      <c r="O47" s="11">
        <f>(SUM(L48:$L$79)*$N$1)</f>
        <v>414.48013294602032</v>
      </c>
      <c r="P47" s="11">
        <f t="shared" si="9"/>
        <v>-172.81473534962396</v>
      </c>
      <c r="V47" s="65">
        <v>43</v>
      </c>
      <c r="W47" s="66">
        <f>Inputs!H50</f>
        <v>1.0690000000000001E-3</v>
      </c>
    </row>
    <row r="48" spans="1:23" x14ac:dyDescent="0.25">
      <c r="A48">
        <f t="shared" si="1"/>
        <v>98</v>
      </c>
      <c r="B48">
        <v>44</v>
      </c>
      <c r="C48" s="12">
        <f t="shared" si="2"/>
        <v>0.23250699999999999</v>
      </c>
      <c r="D48" s="61">
        <f t="shared" si="3"/>
        <v>0.76749299999999998</v>
      </c>
      <c r="E48" s="198">
        <f>IF(B48&lt;=$C$2,1,IF(B48=$C$2+1,PRODUCT($D$5:D48),E47*D48))</f>
        <v>7.5325376289666027E-2</v>
      </c>
      <c r="F48" s="62">
        <f t="shared" si="4"/>
        <v>0.76749299999999998</v>
      </c>
      <c r="G48" s="198">
        <f>IF(B48&lt;=$C$2,1,IF(B48=$C$2+1,PRODUCT($F$5:F48),G47*F48))</f>
        <v>7.5325376289666027E-2</v>
      </c>
      <c r="H48" s="63">
        <f t="shared" si="11"/>
        <v>0.589045505049</v>
      </c>
      <c r="I48" s="63">
        <f t="shared" si="11"/>
        <v>5.6739123131797804E-3</v>
      </c>
      <c r="J48" s="60">
        <f t="shared" si="6"/>
        <v>0.14497684026615226</v>
      </c>
      <c r="K48" s="10">
        <f t="shared" si="0"/>
        <v>0.17804634832345972</v>
      </c>
      <c r="L48" s="60">
        <f t="shared" si="7"/>
        <v>2.5812597000861928E-2</v>
      </c>
      <c r="N48" s="13">
        <f t="shared" si="8"/>
        <v>724.88420133076136</v>
      </c>
      <c r="O48" s="11">
        <f>(SUM(L49:$L$79)*$N$1)</f>
        <v>285.41714794171065</v>
      </c>
      <c r="P48" s="11">
        <f t="shared" si="9"/>
        <v>-129.06298500430967</v>
      </c>
      <c r="V48" s="65">
        <v>44</v>
      </c>
      <c r="W48" s="66">
        <f>Inputs!H51</f>
        <v>1.142E-3</v>
      </c>
    </row>
    <row r="49" spans="1:23" x14ac:dyDescent="0.25">
      <c r="A49">
        <f t="shared" si="1"/>
        <v>99</v>
      </c>
      <c r="B49">
        <v>45</v>
      </c>
      <c r="C49" s="12">
        <f t="shared" si="2"/>
        <v>0.25039699999999998</v>
      </c>
      <c r="D49" s="61">
        <f t="shared" si="3"/>
        <v>0.74960300000000002</v>
      </c>
      <c r="E49" s="198">
        <f>IF(B49&lt;=$C$2,1,IF(B49=$C$2+1,PRODUCT($D$5:D49),E48*D49))</f>
        <v>5.6464128042862521E-2</v>
      </c>
      <c r="F49" s="62">
        <f t="shared" si="4"/>
        <v>0.74960300000000002</v>
      </c>
      <c r="G49" s="198">
        <f>IF(B49&lt;=$C$2,1,IF(B49=$C$2+1,PRODUCT($F$5:F49),G48*F49))</f>
        <v>5.6464128042862521E-2</v>
      </c>
      <c r="H49" s="63">
        <f t="shared" si="11"/>
        <v>0.56190465760899999</v>
      </c>
      <c r="I49" s="63">
        <f t="shared" si="11"/>
        <v>3.1881977556407737E-3</v>
      </c>
      <c r="J49" s="60">
        <f t="shared" si="6"/>
        <v>0.10974005833008427</v>
      </c>
      <c r="K49" s="10">
        <f t="shared" si="0"/>
        <v>0.17119841184948048</v>
      </c>
      <c r="L49" s="60">
        <f t="shared" si="7"/>
        <v>1.8787323702379777E-2</v>
      </c>
      <c r="N49" s="13">
        <f t="shared" si="8"/>
        <v>548.70029165042138</v>
      </c>
      <c r="O49" s="11">
        <f>(SUM(L50:$L$79)*$N$1)</f>
        <v>191.48052942981178</v>
      </c>
      <c r="P49" s="11">
        <f t="shared" si="9"/>
        <v>-93.936618511898871</v>
      </c>
      <c r="V49" s="65">
        <v>45</v>
      </c>
      <c r="W49" s="66">
        <f>Inputs!H52</f>
        <v>1.219E-3</v>
      </c>
    </row>
    <row r="50" spans="1:23" x14ac:dyDescent="0.25">
      <c r="A50">
        <f t="shared" si="1"/>
        <v>100</v>
      </c>
      <c r="B50">
        <v>46</v>
      </c>
      <c r="C50" s="12">
        <f t="shared" si="2"/>
        <v>0.26860699999999998</v>
      </c>
      <c r="D50" s="61">
        <f t="shared" si="3"/>
        <v>0.73139299999999996</v>
      </c>
      <c r="E50" s="198">
        <f>IF(B50&lt;=$C$2,1,IF(B50=$C$2+1,PRODUCT($D$5:D50),E49*D50))</f>
        <v>4.1297468001653348E-2</v>
      </c>
      <c r="F50" s="62">
        <f t="shared" si="4"/>
        <v>0.73139299999999996</v>
      </c>
      <c r="G50" s="198">
        <f>IF(B50&lt;=$C$2,1,IF(B50=$C$2+1,PRODUCT($F$5:F50),G49*F50))</f>
        <v>4.1297468001653348E-2</v>
      </c>
      <c r="H50" s="63">
        <f t="shared" si="11"/>
        <v>0.53493572044899995</v>
      </c>
      <c r="I50" s="63">
        <f t="shared" si="11"/>
        <v>1.7054808633475821E-3</v>
      </c>
      <c r="J50" s="60">
        <f t="shared" si="6"/>
        <v>8.0889455139959113E-2</v>
      </c>
      <c r="K50" s="10">
        <f t="shared" si="0"/>
        <v>0.1646138575475774</v>
      </c>
      <c r="L50" s="60">
        <f t="shared" si="7"/>
        <v>1.3315525245510383E-2</v>
      </c>
      <c r="N50" s="13">
        <f t="shared" si="8"/>
        <v>404.44727569979557</v>
      </c>
      <c r="O50" s="11">
        <f>(SUM(L51:$L$79)*$N$1)</f>
        <v>124.90290320225986</v>
      </c>
      <c r="P50" s="11">
        <f t="shared" si="9"/>
        <v>-66.577626227551917</v>
      </c>
      <c r="V50" s="65">
        <v>46</v>
      </c>
      <c r="W50" s="66">
        <f>Inputs!H53</f>
        <v>1.3179999999999999E-3</v>
      </c>
    </row>
    <row r="51" spans="1:23" x14ac:dyDescent="0.25">
      <c r="A51">
        <f t="shared" si="1"/>
        <v>101</v>
      </c>
      <c r="B51">
        <v>47</v>
      </c>
      <c r="C51" s="12">
        <f t="shared" si="2"/>
        <v>0.290016</v>
      </c>
      <c r="D51" s="61">
        <f t="shared" si="3"/>
        <v>0.70998399999999995</v>
      </c>
      <c r="E51" s="198">
        <f>IF(B51&lt;=$C$2,1,IF(B51=$C$2+1,PRODUCT($D$5:D51),E50*D51))</f>
        <v>2.9320541521685849E-2</v>
      </c>
      <c r="F51" s="62">
        <f t="shared" si="4"/>
        <v>0.70998399999999995</v>
      </c>
      <c r="G51" s="198">
        <f>IF(B51&lt;=$C$2,1,IF(B51=$C$2+1,PRODUCT($F$5:F51),G50*F51))</f>
        <v>2.9320541521685849E-2</v>
      </c>
      <c r="H51" s="63">
        <f t="shared" si="11"/>
        <v>0.50407728025599996</v>
      </c>
      <c r="I51" s="63">
        <f t="shared" si="11"/>
        <v>8.5969415512490396E-4</v>
      </c>
      <c r="J51" s="60">
        <f t="shared" si="6"/>
        <v>5.7781388888246792E-2</v>
      </c>
      <c r="K51" s="10">
        <f t="shared" si="0"/>
        <v>0.15828255533420904</v>
      </c>
      <c r="L51" s="60">
        <f t="shared" si="7"/>
        <v>9.1457858839913749E-3</v>
      </c>
      <c r="N51" s="13">
        <f t="shared" si="8"/>
        <v>288.90694444123397</v>
      </c>
      <c r="O51" s="11">
        <f>(SUM(L52:$L$79)*$N$1)</f>
        <v>79.173973782302994</v>
      </c>
      <c r="P51" s="11">
        <f t="shared" si="9"/>
        <v>-45.72892941995687</v>
      </c>
      <c r="V51" s="65">
        <v>47</v>
      </c>
      <c r="W51" s="66">
        <f>Inputs!H54</f>
        <v>1.454E-3</v>
      </c>
    </row>
    <row r="52" spans="1:23" x14ac:dyDescent="0.25">
      <c r="A52">
        <f t="shared" si="1"/>
        <v>102</v>
      </c>
      <c r="B52">
        <v>48</v>
      </c>
      <c r="C52" s="12">
        <f t="shared" si="2"/>
        <v>0.31184899999999999</v>
      </c>
      <c r="D52" s="61">
        <f t="shared" si="3"/>
        <v>0.68815099999999996</v>
      </c>
      <c r="E52" s="198">
        <f>IF(B52&lt;=$C$2,1,IF(B52=$C$2+1,PRODUCT($D$5:D52),E51*D52))</f>
        <v>2.0176959968689637E-2</v>
      </c>
      <c r="F52" s="62">
        <f t="shared" si="4"/>
        <v>0.68815099999999996</v>
      </c>
      <c r="G52" s="198">
        <f>IF(B52&lt;=$C$2,1,IF(B52=$C$2+1,PRODUCT($F$5:F52),G51*F52))</f>
        <v>2.0176959968689637E-2</v>
      </c>
      <c r="H52" s="63">
        <f t="shared" si="11"/>
        <v>0.47355179880099996</v>
      </c>
      <c r="I52" s="63">
        <f t="shared" si="11"/>
        <v>4.0710971357810411E-4</v>
      </c>
      <c r="J52" s="60">
        <f t="shared" si="6"/>
        <v>3.9946810223801171E-2</v>
      </c>
      <c r="K52" s="10">
        <f t="shared" si="0"/>
        <v>0.15219476474443175</v>
      </c>
      <c r="L52" s="60">
        <f t="shared" si="7"/>
        <v>6.0796953843018807E-3</v>
      </c>
      <c r="N52" s="13">
        <f t="shared" si="8"/>
        <v>199.73405111900587</v>
      </c>
      <c r="O52" s="11">
        <f>(SUM(L53:$L$79)*$N$1)</f>
        <v>48.775496860793581</v>
      </c>
      <c r="P52" s="11">
        <f t="shared" si="9"/>
        <v>-30.398476921509413</v>
      </c>
      <c r="V52" s="65">
        <v>48</v>
      </c>
      <c r="W52" s="66">
        <f>Inputs!H55</f>
        <v>1.627E-3</v>
      </c>
    </row>
    <row r="53" spans="1:23" x14ac:dyDescent="0.25">
      <c r="A53">
        <f t="shared" si="1"/>
        <v>103</v>
      </c>
      <c r="B53">
        <v>49</v>
      </c>
      <c r="C53" s="12">
        <f t="shared" si="2"/>
        <v>0.33396199999999998</v>
      </c>
      <c r="D53" s="61">
        <f t="shared" si="3"/>
        <v>0.66603800000000002</v>
      </c>
      <c r="E53" s="198">
        <f>IF(B53&lt;=$C$2,1,IF(B53=$C$2+1,PRODUCT($D$5:D53),E52*D53))</f>
        <v>1.3438622063626109E-2</v>
      </c>
      <c r="F53" s="62">
        <f t="shared" si="4"/>
        <v>0.66603800000000002</v>
      </c>
      <c r="G53" s="198">
        <f>IF(B53&lt;=$C$2,1,IF(B53=$C$2+1,PRODUCT($F$5:F53),G52*F53))</f>
        <v>1.3438622063626109E-2</v>
      </c>
      <c r="H53" s="63">
        <f t="shared" si="11"/>
        <v>0.44360661744400004</v>
      </c>
      <c r="I53" s="63">
        <f t="shared" si="11"/>
        <v>1.8059656296897845E-4</v>
      </c>
      <c r="J53" s="60">
        <f t="shared" si="6"/>
        <v>2.6696647564283239E-2</v>
      </c>
      <c r="K53" s="10">
        <f t="shared" si="0"/>
        <v>0.14634111994656898</v>
      </c>
      <c r="L53" s="60">
        <f t="shared" si="7"/>
        <v>3.9068173033760516E-3</v>
      </c>
      <c r="N53" s="13">
        <f t="shared" si="8"/>
        <v>133.4832378214162</v>
      </c>
      <c r="O53" s="11">
        <f>(SUM(L54:$L$79)*$N$1)</f>
        <v>29.241410343913326</v>
      </c>
      <c r="P53" s="11">
        <f t="shared" si="9"/>
        <v>-19.534086516880254</v>
      </c>
      <c r="V53" s="65">
        <v>49</v>
      </c>
      <c r="W53" s="66">
        <f>Inputs!H56</f>
        <v>1.8289999999999999E-3</v>
      </c>
    </row>
    <row r="54" spans="1:23" x14ac:dyDescent="0.25">
      <c r="A54">
        <f t="shared" si="1"/>
        <v>104</v>
      </c>
      <c r="B54">
        <v>50</v>
      </c>
      <c r="C54" s="12">
        <f t="shared" si="2"/>
        <v>0.356207</v>
      </c>
      <c r="D54" s="61">
        <f t="shared" si="3"/>
        <v>0.64379300000000006</v>
      </c>
      <c r="E54" s="198">
        <f>IF(B54&lt;=$C$2,1,IF(B54=$C$2+1,PRODUCT($D$5:D54),E53*D54))</f>
        <v>8.6516908142080448E-3</v>
      </c>
      <c r="F54" s="62">
        <f t="shared" si="4"/>
        <v>0.64379300000000006</v>
      </c>
      <c r="G54" s="198">
        <f>IF(B54&lt;=$C$2,1,IF(B54=$C$2+1,PRODUCT($F$5:F54),G53*F54))</f>
        <v>8.6516908142080448E-3</v>
      </c>
      <c r="H54" s="63">
        <f t="shared" si="11"/>
        <v>0.41446942684900007</v>
      </c>
      <c r="I54" s="63">
        <f t="shared" si="11"/>
        <v>7.485175394465186E-5</v>
      </c>
      <c r="J54" s="60">
        <f t="shared" si="6"/>
        <v>1.7228529874471439E-2</v>
      </c>
      <c r="K54" s="10">
        <f t="shared" si="0"/>
        <v>0.14071261533323939</v>
      </c>
      <c r="L54" s="60">
        <f t="shared" si="7"/>
        <v>2.4242714969837228E-3</v>
      </c>
      <c r="N54" s="13">
        <f t="shared" si="8"/>
        <v>86.142649372357198</v>
      </c>
      <c r="O54" s="11">
        <f>(SUM(L55:$L$79)*$N$1)</f>
        <v>17.120052858994708</v>
      </c>
      <c r="P54" s="11">
        <f t="shared" si="9"/>
        <v>-12.121357484918619</v>
      </c>
      <c r="V54" s="65">
        <v>50</v>
      </c>
      <c r="W54" s="66">
        <f>Inputs!H57</f>
        <v>2.0569999999999998E-3</v>
      </c>
    </row>
    <row r="55" spans="1:23" x14ac:dyDescent="0.25">
      <c r="A55">
        <f t="shared" si="1"/>
        <v>105</v>
      </c>
      <c r="B55">
        <v>51</v>
      </c>
      <c r="C55" s="12">
        <f t="shared" si="2"/>
        <v>0.38</v>
      </c>
      <c r="D55" s="61">
        <f t="shared" si="3"/>
        <v>0.62</v>
      </c>
      <c r="E55" s="198">
        <f>IF(B55&lt;=$C$2,1,IF(B55=$C$2+1,PRODUCT($D$5:D55),E54*D55))</f>
        <v>5.3640483048089877E-3</v>
      </c>
      <c r="F55" s="62">
        <f t="shared" si="4"/>
        <v>0.62</v>
      </c>
      <c r="G55" s="198">
        <f>IF(B55&lt;=$C$2,1,IF(B55=$C$2+1,PRODUCT($F$5:F55),G54*F55))</f>
        <v>5.3640483048089877E-3</v>
      </c>
      <c r="H55" s="63">
        <f t="shared" si="11"/>
        <v>0.38440000000000002</v>
      </c>
      <c r="I55" s="63">
        <f t="shared" si="11"/>
        <v>2.8773014216324173E-5</v>
      </c>
      <c r="J55" s="60">
        <f t="shared" si="6"/>
        <v>1.0699323595401652E-2</v>
      </c>
      <c r="K55" s="10">
        <f t="shared" si="0"/>
        <v>0.13530059166657632</v>
      </c>
      <c r="L55" s="60">
        <f t="shared" si="7"/>
        <v>1.447624812890004E-3</v>
      </c>
      <c r="N55" s="13">
        <f t="shared" si="8"/>
        <v>53.496617977008256</v>
      </c>
      <c r="O55" s="11">
        <f>(SUM(L56:$L$79)*$N$1)</f>
        <v>9.8819287945446881</v>
      </c>
      <c r="P55" s="11">
        <f t="shared" si="9"/>
        <v>-7.2381240644500195</v>
      </c>
      <c r="V55" s="65">
        <v>51</v>
      </c>
      <c r="W55" s="66">
        <f>Inputs!H58</f>
        <v>2.3019999999999998E-3</v>
      </c>
    </row>
    <row r="56" spans="1:23" x14ac:dyDescent="0.25">
      <c r="A56">
        <f t="shared" si="1"/>
        <v>106</v>
      </c>
      <c r="B56">
        <v>52</v>
      </c>
      <c r="C56" s="12">
        <f t="shared" si="2"/>
        <v>0.4</v>
      </c>
      <c r="D56" s="61">
        <f t="shared" si="3"/>
        <v>0.6</v>
      </c>
      <c r="E56" s="198">
        <f>IF(B56&lt;=$C$2,1,IF(B56=$C$2+1,PRODUCT($D$5:D56),E55*D56))</f>
        <v>3.2184289828853926E-3</v>
      </c>
      <c r="F56" s="62">
        <f t="shared" si="4"/>
        <v>0.6</v>
      </c>
      <c r="G56" s="198">
        <f>IF(B56&lt;=$C$2,1,IF(B56=$C$2+1,PRODUCT($F$5:F56),G55*F56))</f>
        <v>3.2184289828853926E-3</v>
      </c>
      <c r="H56" s="63">
        <f t="shared" si="11"/>
        <v>0.36</v>
      </c>
      <c r="I56" s="63">
        <f t="shared" si="11"/>
        <v>1.0358285117876703E-5</v>
      </c>
      <c r="J56" s="60">
        <f t="shared" si="6"/>
        <v>6.4264996806529086E-3</v>
      </c>
      <c r="K56" s="10">
        <f t="shared" si="0"/>
        <v>0.13009672275632339</v>
      </c>
      <c r="L56" s="60">
        <f t="shared" si="7"/>
        <v>8.3606654724750231E-4</v>
      </c>
      <c r="N56" s="13">
        <f t="shared" si="8"/>
        <v>32.132498403264542</v>
      </c>
      <c r="O56" s="11">
        <f>(SUM(L57:$L$79)*$N$1)</f>
        <v>5.7015960583071763</v>
      </c>
      <c r="P56" s="11">
        <f t="shared" si="9"/>
        <v>-4.1803327362375118</v>
      </c>
      <c r="V56" s="65">
        <v>52</v>
      </c>
      <c r="W56" s="66">
        <f>Inputs!H59</f>
        <v>2.545E-3</v>
      </c>
    </row>
    <row r="57" spans="1:23" x14ac:dyDescent="0.25">
      <c r="A57">
        <f t="shared" si="1"/>
        <v>107</v>
      </c>
      <c r="B57">
        <v>53</v>
      </c>
      <c r="C57" s="12">
        <f t="shared" si="2"/>
        <v>0.4</v>
      </c>
      <c r="D57" s="61">
        <f t="shared" si="3"/>
        <v>0.6</v>
      </c>
      <c r="E57" s="198">
        <f>IF(B57&lt;=$C$2,1,IF(B57=$C$2+1,PRODUCT($D$5:D57),E56*D57))</f>
        <v>1.9310573897312355E-3</v>
      </c>
      <c r="F57" s="62">
        <f t="shared" si="4"/>
        <v>0.6</v>
      </c>
      <c r="G57" s="198">
        <f>IF(B57&lt;=$C$2,1,IF(B57=$C$2+1,PRODUCT($F$5:F57),G56*F57))</f>
        <v>1.9310573897312355E-3</v>
      </c>
      <c r="H57" s="63">
        <f t="shared" si="11"/>
        <v>0.36</v>
      </c>
      <c r="I57" s="63">
        <f t="shared" si="11"/>
        <v>3.7289826424356127E-6</v>
      </c>
      <c r="J57" s="60">
        <f t="shared" si="6"/>
        <v>3.8583857968200355E-3</v>
      </c>
      <c r="K57" s="10">
        <f t="shared" si="0"/>
        <v>0.12509300265031092</v>
      </c>
      <c r="L57" s="60">
        <f t="shared" si="7"/>
        <v>4.8265706470753073E-4</v>
      </c>
      <c r="N57" s="13">
        <f t="shared" si="8"/>
        <v>19.291928984100178</v>
      </c>
      <c r="O57" s="11">
        <f>(SUM(L58:$L$79)*$N$1)</f>
        <v>3.2883107347695226</v>
      </c>
      <c r="P57" s="11">
        <f t="shared" si="9"/>
        <v>-2.4132853235376537</v>
      </c>
      <c r="V57" s="65">
        <v>53</v>
      </c>
      <c r="W57" s="66">
        <f>Inputs!H60</f>
        <v>2.7789999999999998E-3</v>
      </c>
    </row>
    <row r="58" spans="1:23" x14ac:dyDescent="0.25">
      <c r="A58">
        <f t="shared" si="1"/>
        <v>108</v>
      </c>
      <c r="B58">
        <v>54</v>
      </c>
      <c r="C58" s="12">
        <f t="shared" si="2"/>
        <v>0.4</v>
      </c>
      <c r="D58" s="61">
        <f t="shared" si="3"/>
        <v>0.6</v>
      </c>
      <c r="E58" s="198">
        <f>IF(B58&lt;=$C$2,1,IF(B58=$C$2+1,PRODUCT($D$5:D58),E57*D58))</f>
        <v>1.1586344338387412E-3</v>
      </c>
      <c r="F58" s="62">
        <f t="shared" si="4"/>
        <v>0.6</v>
      </c>
      <c r="G58" s="198">
        <f>IF(B58&lt;=$C$2,1,IF(B58=$C$2+1,PRODUCT($F$5:F58),G57*F58))</f>
        <v>1.1586344338387412E-3</v>
      </c>
      <c r="H58" s="63">
        <f t="shared" si="11"/>
        <v>0.36</v>
      </c>
      <c r="I58" s="63">
        <f t="shared" si="11"/>
        <v>1.3424337512768203E-6</v>
      </c>
      <c r="J58" s="60">
        <f t="shared" si="6"/>
        <v>2.3159264339262056E-3</v>
      </c>
      <c r="K58" s="10">
        <f t="shared" si="0"/>
        <v>0.12028173331760666</v>
      </c>
      <c r="L58" s="60">
        <f t="shared" si="7"/>
        <v>2.7856364570870765E-4</v>
      </c>
      <c r="N58" s="13">
        <f t="shared" si="8"/>
        <v>11.579632169631028</v>
      </c>
      <c r="O58" s="11">
        <f>(SUM(L59:$L$79)*$N$1)</f>
        <v>1.8954925062259849</v>
      </c>
      <c r="P58" s="11">
        <f t="shared" si="9"/>
        <v>-1.3928182285435378</v>
      </c>
      <c r="V58" s="65">
        <v>54</v>
      </c>
      <c r="W58" s="66">
        <f>Inputs!H61</f>
        <v>3.0109999999999998E-3</v>
      </c>
    </row>
    <row r="59" spans="1:23" x14ac:dyDescent="0.25">
      <c r="A59">
        <f t="shared" si="1"/>
        <v>109</v>
      </c>
      <c r="B59">
        <v>55</v>
      </c>
      <c r="C59" s="12">
        <f t="shared" si="2"/>
        <v>0.4</v>
      </c>
      <c r="D59" s="61">
        <f t="shared" si="3"/>
        <v>0.6</v>
      </c>
      <c r="E59" s="198">
        <f>IF(B59&lt;=$C$2,1,IF(B59=$C$2+1,PRODUCT($D$5:D59),E58*D59))</f>
        <v>6.9518066030324469E-4</v>
      </c>
      <c r="F59" s="62">
        <f t="shared" si="4"/>
        <v>0.6</v>
      </c>
      <c r="G59" s="198">
        <f>IF(B59&lt;=$C$2,1,IF(B59=$C$2+1,PRODUCT($F$5:F59),G58*F59))</f>
        <v>6.9518066030324469E-4</v>
      </c>
      <c r="H59" s="63">
        <f t="shared" si="11"/>
        <v>0.36</v>
      </c>
      <c r="I59" s="63">
        <f t="shared" si="11"/>
        <v>4.8327615045965533E-7</v>
      </c>
      <c r="J59" s="60">
        <f t="shared" si="6"/>
        <v>1.3898780444560298E-3</v>
      </c>
      <c r="K59" s="10">
        <f t="shared" si="0"/>
        <v>0.11565551280539103</v>
      </c>
      <c r="L59" s="60">
        <f t="shared" si="7"/>
        <v>1.607470579685162E-4</v>
      </c>
      <c r="N59" s="13">
        <f t="shared" si="8"/>
        <v>6.9493902222801491</v>
      </c>
      <c r="O59" s="11">
        <f>(SUM(L60:$L$79)*$N$1)</f>
        <v>1.0917572163834033</v>
      </c>
      <c r="P59" s="11">
        <f t="shared" si="9"/>
        <v>-0.80373528984258158</v>
      </c>
      <c r="V59" s="65">
        <v>55</v>
      </c>
      <c r="W59" s="66">
        <f>Inputs!H62</f>
        <v>3.2539999999999999E-3</v>
      </c>
    </row>
    <row r="60" spans="1:23" x14ac:dyDescent="0.25">
      <c r="A60">
        <f t="shared" si="1"/>
        <v>110</v>
      </c>
      <c r="B60">
        <v>56</v>
      </c>
      <c r="C60" s="12">
        <f t="shared" si="2"/>
        <v>0.4</v>
      </c>
      <c r="D60" s="61">
        <f t="shared" si="3"/>
        <v>0.6</v>
      </c>
      <c r="E60" s="198">
        <f>IF(B60&lt;=$C$2,1,IF(B60=$C$2+1,PRODUCT($D$5:D60),E59*D60))</f>
        <v>4.1710839618194681E-4</v>
      </c>
      <c r="F60" s="62">
        <f t="shared" si="4"/>
        <v>0.6</v>
      </c>
      <c r="G60" s="198">
        <f>IF(B60&lt;=$C$2,1,IF(B60=$C$2+1,PRODUCT($F$5:F60),G59*F60))</f>
        <v>4.1710839618194681E-4</v>
      </c>
      <c r="H60" s="63">
        <f t="shared" si="11"/>
        <v>0.36</v>
      </c>
      <c r="I60" s="63">
        <f t="shared" si="11"/>
        <v>1.739794141654759E-7</v>
      </c>
      <c r="J60" s="60">
        <f t="shared" si="6"/>
        <v>8.3404281294972816E-4</v>
      </c>
      <c r="K60" s="10">
        <f t="shared" si="0"/>
        <v>0.11120722385133754</v>
      </c>
      <c r="L60" s="60">
        <f t="shared" si="7"/>
        <v>9.275158580129966E-5</v>
      </c>
      <c r="N60" s="13">
        <f t="shared" si="8"/>
        <v>4.1702140647486408</v>
      </c>
      <c r="O60" s="11">
        <f>(SUM(L61:$L$79)*$N$1)</f>
        <v>0.62799928737690525</v>
      </c>
      <c r="P60" s="11">
        <f t="shared" si="9"/>
        <v>-0.46375792900649804</v>
      </c>
      <c r="V60" s="65">
        <v>56</v>
      </c>
      <c r="W60" s="66">
        <f>Inputs!H63</f>
        <v>3.529E-3</v>
      </c>
    </row>
    <row r="61" spans="1:23" x14ac:dyDescent="0.25">
      <c r="A61">
        <f t="shared" si="1"/>
        <v>111</v>
      </c>
      <c r="B61">
        <v>57</v>
      </c>
      <c r="C61" s="12">
        <f t="shared" si="2"/>
        <v>0.4</v>
      </c>
      <c r="D61" s="61">
        <f t="shared" si="3"/>
        <v>0.6</v>
      </c>
      <c r="E61" s="198">
        <f>IF(B61&lt;=$C$2,1,IF(B61=$C$2+1,PRODUCT($D$5:D61),E60*D61))</f>
        <v>2.5026503770916809E-4</v>
      </c>
      <c r="F61" s="62">
        <f t="shared" si="4"/>
        <v>0.6</v>
      </c>
      <c r="G61" s="198">
        <f>IF(B61&lt;=$C$2,1,IF(B61=$C$2+1,PRODUCT($F$5:F61),G60*F61))</f>
        <v>2.5026503770916809E-4</v>
      </c>
      <c r="H61" s="63">
        <f t="shared" si="11"/>
        <v>0.36</v>
      </c>
      <c r="I61" s="63">
        <f t="shared" si="11"/>
        <v>6.2632589099571324E-8</v>
      </c>
      <c r="J61" s="60">
        <f t="shared" si="6"/>
        <v>5.004674428292366E-4</v>
      </c>
      <c r="K61" s="10">
        <f t="shared" si="0"/>
        <v>0.10693002293397837</v>
      </c>
      <c r="L61" s="60">
        <f t="shared" si="7"/>
        <v>5.3514995139439775E-5</v>
      </c>
      <c r="N61" s="13">
        <f t="shared" si="8"/>
        <v>2.5023372141461828</v>
      </c>
      <c r="O61" s="11">
        <f>(SUM(L62:$L$79)*$N$1)</f>
        <v>0.36042431167970629</v>
      </c>
      <c r="P61" s="11">
        <f t="shared" si="9"/>
        <v>-0.26757497569719896</v>
      </c>
      <c r="V61" s="65">
        <v>57</v>
      </c>
      <c r="W61" s="66">
        <f>Inputs!H64</f>
        <v>3.8449999999999999E-3</v>
      </c>
    </row>
    <row r="62" spans="1:23" x14ac:dyDescent="0.25">
      <c r="A62">
        <f t="shared" si="1"/>
        <v>112</v>
      </c>
      <c r="B62">
        <v>58</v>
      </c>
      <c r="C62" s="12">
        <f t="shared" si="2"/>
        <v>0.4</v>
      </c>
      <c r="D62" s="61">
        <f t="shared" si="3"/>
        <v>0.6</v>
      </c>
      <c r="E62" s="198">
        <f>IF(B62&lt;=$C$2,1,IF(B62=$C$2+1,PRODUCT($D$5:D62),E61*D62))</f>
        <v>1.5015902262550086E-4</v>
      </c>
      <c r="F62" s="62">
        <f t="shared" si="4"/>
        <v>0.6</v>
      </c>
      <c r="G62" s="198">
        <f>IF(B62&lt;=$C$2,1,IF(B62=$C$2+1,PRODUCT($F$5:F62),G61*F62))</f>
        <v>1.5015902262550086E-4</v>
      </c>
      <c r="H62" s="63">
        <f t="shared" si="11"/>
        <v>0.36</v>
      </c>
      <c r="I62" s="63">
        <f t="shared" si="11"/>
        <v>2.2547732075845681E-8</v>
      </c>
      <c r="J62" s="60">
        <f t="shared" si="6"/>
        <v>3.0029549751892586E-4</v>
      </c>
      <c r="K62" s="10">
        <f t="shared" si="0"/>
        <v>0.10281732974420998</v>
      </c>
      <c r="L62" s="60">
        <f t="shared" si="7"/>
        <v>3.0875581189104992E-5</v>
      </c>
      <c r="N62" s="13">
        <f t="shared" si="8"/>
        <v>1.5014774875946293</v>
      </c>
      <c r="O62" s="11">
        <f>(SUM(L63:$L$79)*$N$1)</f>
        <v>0.20604640573418131</v>
      </c>
      <c r="P62" s="11">
        <f t="shared" si="9"/>
        <v>-0.15437790594552497</v>
      </c>
      <c r="V62" s="65">
        <v>58</v>
      </c>
      <c r="W62" s="66">
        <f>Inputs!H65</f>
        <v>4.2129999999999997E-3</v>
      </c>
    </row>
    <row r="63" spans="1:23" x14ac:dyDescent="0.25">
      <c r="A63">
        <f t="shared" si="1"/>
        <v>113</v>
      </c>
      <c r="B63">
        <v>59</v>
      </c>
      <c r="C63" s="12">
        <f t="shared" si="2"/>
        <v>0.4</v>
      </c>
      <c r="D63" s="61">
        <f t="shared" si="3"/>
        <v>0.6</v>
      </c>
      <c r="E63" s="198">
        <f>IF(B63&lt;=$C$2,1,IF(B63=$C$2+1,PRODUCT($D$5:D63),E62*D63))</f>
        <v>9.0095413575300509E-5</v>
      </c>
      <c r="F63" s="62">
        <f t="shared" si="4"/>
        <v>0.6</v>
      </c>
      <c r="G63" s="198">
        <f>IF(B63&lt;=$C$2,1,IF(B63=$C$2+1,PRODUCT($F$5:F63),G62*F63))</f>
        <v>9.0095413575300509E-5</v>
      </c>
      <c r="H63" s="63">
        <f t="shared" si="11"/>
        <v>0.36</v>
      </c>
      <c r="I63" s="63">
        <f t="shared" si="11"/>
        <v>8.117183547304444E-9</v>
      </c>
      <c r="J63" s="60">
        <f t="shared" si="6"/>
        <v>1.8018270996705371E-4</v>
      </c>
      <c r="K63" s="10">
        <f t="shared" si="0"/>
        <v>9.8862817061740368E-2</v>
      </c>
      <c r="L63" s="60">
        <f t="shared" si="7"/>
        <v>1.7813370293161453E-5</v>
      </c>
      <c r="N63" s="13">
        <f t="shared" si="8"/>
        <v>0.9009135498352685</v>
      </c>
      <c r="O63" s="11">
        <f>(SUM(L64:$L$79)*$N$1)</f>
        <v>0.11697955426837406</v>
      </c>
      <c r="P63" s="11">
        <f t="shared" si="9"/>
        <v>-8.9066851465807256E-2</v>
      </c>
      <c r="V63" s="65">
        <v>59</v>
      </c>
      <c r="W63" s="66">
        <f>Inputs!H66</f>
        <v>4.6309999999999997E-3</v>
      </c>
    </row>
    <row r="64" spans="1:23" x14ac:dyDescent="0.25">
      <c r="A64">
        <f t="shared" si="1"/>
        <v>114</v>
      </c>
      <c r="B64">
        <v>60</v>
      </c>
      <c r="C64" s="12">
        <f t="shared" si="2"/>
        <v>0.4</v>
      </c>
      <c r="D64" s="61">
        <f t="shared" si="3"/>
        <v>0.6</v>
      </c>
      <c r="E64" s="198">
        <f>IF(B64&lt;=$C$2,1,IF(B64=$C$2+1,PRODUCT($D$5:D64),E63*D64))</f>
        <v>5.4057248145180301E-5</v>
      </c>
      <c r="F64" s="62">
        <f t="shared" si="4"/>
        <v>0.6</v>
      </c>
      <c r="G64" s="198">
        <f>IF(B64&lt;=$C$2,1,IF(B64=$C$2+1,PRODUCT($F$5:F64),G63*F64))</f>
        <v>5.4057248145180301E-5</v>
      </c>
      <c r="H64" s="63">
        <f t="shared" si="11"/>
        <v>0.36</v>
      </c>
      <c r="I64" s="63">
        <f t="shared" si="11"/>
        <v>2.9221860770295991E-9</v>
      </c>
      <c r="J64" s="60">
        <f t="shared" si="6"/>
        <v>1.0811157410428357E-4</v>
      </c>
      <c r="K64" s="10">
        <f t="shared" si="0"/>
        <v>9.506040102090417E-2</v>
      </c>
      <c r="L64" s="60">
        <f t="shared" si="7"/>
        <v>1.0277129589354394E-5</v>
      </c>
      <c r="N64" s="13">
        <f t="shared" si="8"/>
        <v>0.5405578705214179</v>
      </c>
      <c r="O64" s="11">
        <f>(SUM(L65:$L$79)*$N$1)</f>
        <v>6.5593906321602086E-2</v>
      </c>
      <c r="P64" s="11">
        <f t="shared" si="9"/>
        <v>-5.1385647946771973E-2</v>
      </c>
      <c r="V64" s="65">
        <v>60</v>
      </c>
      <c r="W64" s="66">
        <f>Inputs!H67</f>
        <v>5.0959999999999998E-3</v>
      </c>
    </row>
    <row r="65" spans="1:23" x14ac:dyDescent="0.25">
      <c r="A65">
        <f t="shared" si="1"/>
        <v>115</v>
      </c>
      <c r="B65">
        <v>61</v>
      </c>
      <c r="C65" s="12">
        <f t="shared" si="2"/>
        <v>0.4</v>
      </c>
      <c r="D65" s="61">
        <f t="shared" si="3"/>
        <v>0.6</v>
      </c>
      <c r="E65" s="198">
        <f>IF(B65&lt;=$C$2,1,IF(B65=$C$2+1,PRODUCT($D$5:D65),E64*D65))</f>
        <v>3.2434348887108177E-5</v>
      </c>
      <c r="F65" s="62">
        <f t="shared" si="4"/>
        <v>0.6</v>
      </c>
      <c r="G65" s="198">
        <f>IF(B65&lt;=$C$2,1,IF(B65=$C$2+1,PRODUCT($F$5:F65),G64*F65))</f>
        <v>3.2434348887108177E-5</v>
      </c>
      <c r="H65" s="63">
        <f t="shared" si="11"/>
        <v>0.36</v>
      </c>
      <c r="I65" s="63">
        <f t="shared" si="11"/>
        <v>1.0519869877306555E-9</v>
      </c>
      <c r="J65" s="60">
        <f t="shared" si="6"/>
        <v>6.4867645787228625E-5</v>
      </c>
      <c r="K65" s="10">
        <f t="shared" si="0"/>
        <v>9.1404231750869397E-2</v>
      </c>
      <c r="L65" s="60">
        <f t="shared" si="7"/>
        <v>5.9291773286691525E-6</v>
      </c>
      <c r="N65" s="13">
        <f t="shared" si="8"/>
        <v>0.32433822893614311</v>
      </c>
      <c r="O65" s="11">
        <f>(SUM(L66:$L$79)*$N$1)</f>
        <v>3.5948019678256324E-2</v>
      </c>
      <c r="P65" s="11">
        <f t="shared" si="9"/>
        <v>-2.9645886643345762E-2</v>
      </c>
      <c r="V65" s="65">
        <v>61</v>
      </c>
      <c r="W65" s="66">
        <f>Inputs!H68</f>
        <v>5.6140000000000001E-3</v>
      </c>
    </row>
    <row r="66" spans="1:23" x14ac:dyDescent="0.25">
      <c r="A66">
        <f t="shared" si="1"/>
        <v>116</v>
      </c>
      <c r="B66">
        <v>62</v>
      </c>
      <c r="C66" s="12">
        <f t="shared" si="2"/>
        <v>0.4</v>
      </c>
      <c r="D66" s="61">
        <f t="shared" si="3"/>
        <v>0.6</v>
      </c>
      <c r="E66" s="198">
        <f>IF(B66&lt;=$C$2,1,IF(B66=$C$2+1,PRODUCT($D$5:D66),E65*D66))</f>
        <v>1.9460609332264905E-5</v>
      </c>
      <c r="F66" s="62">
        <f t="shared" si="4"/>
        <v>0.6</v>
      </c>
      <c r="G66" s="198">
        <f>IF(B66&lt;=$C$2,1,IF(B66=$C$2+1,PRODUCT($F$5:F66),G65*F66))</f>
        <v>1.9460609332264905E-5</v>
      </c>
      <c r="H66" s="63">
        <f t="shared" si="11"/>
        <v>0.36</v>
      </c>
      <c r="I66" s="63">
        <f t="shared" si="11"/>
        <v>3.787153155830359E-10</v>
      </c>
      <c r="J66" s="60">
        <f t="shared" si="6"/>
        <v>3.8920839949214227E-5</v>
      </c>
      <c r="K66" s="10">
        <f t="shared" si="0"/>
        <v>8.7888684375835968E-2</v>
      </c>
      <c r="L66" s="60">
        <f t="shared" si="7"/>
        <v>3.4207014179389166E-6</v>
      </c>
      <c r="N66" s="13">
        <f t="shared" si="8"/>
        <v>0.19460419974607113</v>
      </c>
      <c r="O66" s="11">
        <f>(SUM(L67:$L$79)*$N$1)</f>
        <v>1.8844512588561742E-2</v>
      </c>
      <c r="P66" s="11">
        <f t="shared" si="9"/>
        <v>-1.7103507089694582E-2</v>
      </c>
      <c r="V66" s="65">
        <v>62</v>
      </c>
      <c r="W66" s="66">
        <f>Inputs!H69</f>
        <v>6.169E-3</v>
      </c>
    </row>
    <row r="67" spans="1:23" x14ac:dyDescent="0.25">
      <c r="A67">
        <f t="shared" si="1"/>
        <v>117</v>
      </c>
      <c r="B67">
        <v>63</v>
      </c>
      <c r="C67" s="12">
        <f t="shared" si="2"/>
        <v>0.4</v>
      </c>
      <c r="D67" s="61">
        <f t="shared" si="3"/>
        <v>0.6</v>
      </c>
      <c r="E67" s="198">
        <f>IF(B67&lt;=$C$2,1,IF(B67=$C$2+1,PRODUCT($D$5:D67),E66*D67))</f>
        <v>1.1676365599358943E-5</v>
      </c>
      <c r="F67" s="62">
        <f t="shared" si="4"/>
        <v>0.6</v>
      </c>
      <c r="G67" s="198">
        <f>IF(B67&lt;=$C$2,1,IF(B67=$C$2+1,PRODUCT($F$5:F67),G66*F67))</f>
        <v>1.1676365599358943E-5</v>
      </c>
      <c r="H67" s="63">
        <f t="shared" si="11"/>
        <v>0.36</v>
      </c>
      <c r="I67" s="63">
        <f t="shared" si="11"/>
        <v>1.3633751360989293E-10</v>
      </c>
      <c r="J67" s="60">
        <f t="shared" si="6"/>
        <v>2.3352594861204277E-5</v>
      </c>
      <c r="K67" s="10">
        <f t="shared" si="0"/>
        <v>8.4508350361380741E-2</v>
      </c>
      <c r="L67" s="60">
        <f t="shared" si="7"/>
        <v>1.9734892683780307E-6</v>
      </c>
      <c r="N67" s="13">
        <f t="shared" si="8"/>
        <v>0.11676297430602138</v>
      </c>
      <c r="O67" s="11">
        <f>(SUM(L68:$L$79)*$N$1)</f>
        <v>8.9770662466715865E-3</v>
      </c>
      <c r="P67" s="11">
        <f t="shared" si="9"/>
        <v>-9.8674463418901553E-3</v>
      </c>
      <c r="V67" s="65">
        <v>63</v>
      </c>
      <c r="W67" s="66">
        <f>Inputs!H70</f>
        <v>6.7590000000000003E-3</v>
      </c>
    </row>
    <row r="68" spans="1:23" x14ac:dyDescent="0.25">
      <c r="A68">
        <f t="shared" si="1"/>
        <v>118</v>
      </c>
      <c r="B68">
        <v>64</v>
      </c>
      <c r="C68" s="12">
        <f t="shared" si="2"/>
        <v>0.4</v>
      </c>
      <c r="D68" s="61">
        <f t="shared" si="3"/>
        <v>0.6</v>
      </c>
      <c r="E68" s="198">
        <f>IF(B68&lt;=$C$2,1,IF(B68=$C$2+1,PRODUCT($D$5:D68),E67*D68))</f>
        <v>7.0058193596153656E-6</v>
      </c>
      <c r="F68" s="62">
        <f t="shared" si="4"/>
        <v>0.6</v>
      </c>
      <c r="G68" s="198">
        <f>IF(B68&lt;=$C$2,1,IF(B68=$C$2+1,PRODUCT($F$5:F68),G67*F68))</f>
        <v>7.0058193596153656E-6</v>
      </c>
      <c r="H68" s="63">
        <f t="shared" si="11"/>
        <v>0.36</v>
      </c>
      <c r="I68" s="63">
        <f t="shared" si="11"/>
        <v>4.9081504899561452E-11</v>
      </c>
      <c r="J68" s="60">
        <f t="shared" si="6"/>
        <v>1.4011589637725832E-5</v>
      </c>
      <c r="K68" s="10">
        <f t="shared" si="0"/>
        <v>8.1258029193635312E-2</v>
      </c>
      <c r="L68" s="60">
        <f t="shared" si="7"/>
        <v>1.1385541598315636E-6</v>
      </c>
      <c r="N68" s="13">
        <f t="shared" si="8"/>
        <v>7.0057948188629163E-2</v>
      </c>
      <c r="O68" s="11">
        <f>(SUM(L69:$L$79)*$N$1)</f>
        <v>3.2842954475137691E-3</v>
      </c>
      <c r="P68" s="11">
        <f t="shared" si="9"/>
        <v>-5.6927707991578178E-3</v>
      </c>
      <c r="V68" s="65">
        <v>64</v>
      </c>
      <c r="W68" s="66">
        <f>Inputs!H71</f>
        <v>7.3980000000000001E-3</v>
      </c>
    </row>
    <row r="69" spans="1:23" x14ac:dyDescent="0.25">
      <c r="A69">
        <f t="shared" si="1"/>
        <v>119</v>
      </c>
      <c r="B69">
        <v>65</v>
      </c>
      <c r="C69" s="12">
        <f t="shared" si="2"/>
        <v>0.4</v>
      </c>
      <c r="D69" s="61">
        <f t="shared" si="3"/>
        <v>0.6</v>
      </c>
      <c r="E69" s="198">
        <f>IF(B69&lt;=$C$2,1,IF(B69=$C$2+1,PRODUCT($D$5:D69),E68*D69))</f>
        <v>4.2034916157692188E-6</v>
      </c>
      <c r="F69" s="62">
        <f t="shared" si="4"/>
        <v>0.6</v>
      </c>
      <c r="G69" s="198">
        <f>IF(B69&lt;=$C$2,1,IF(B69=$C$2+1,PRODUCT($F$5:F69),G68*F69))</f>
        <v>4.2034916157692188E-6</v>
      </c>
      <c r="H69" s="63">
        <f t="shared" si="11"/>
        <v>0.36</v>
      </c>
      <c r="I69" s="63">
        <f t="shared" si="11"/>
        <v>1.7669341763842116E-11</v>
      </c>
      <c r="J69" s="60">
        <f t="shared" si="6"/>
        <v>8.4069655621966738E-6</v>
      </c>
      <c r="K69" s="10">
        <f t="shared" ref="K69:K70" si="12">IF(D69=0,0,(1+$K$2)^-B69)</f>
        <v>7.8132720378495488E-2</v>
      </c>
      <c r="L69" s="60">
        <f t="shared" si="7"/>
        <v>6.5685908950275381E-7</v>
      </c>
      <c r="N69" s="13">
        <f t="shared" si="8"/>
        <v>4.2034827810983368E-2</v>
      </c>
      <c r="O69" s="11">
        <f>(SUM(L70:$L$79)*$N$1)</f>
        <v>0</v>
      </c>
      <c r="P69" s="11">
        <f t="shared" si="9"/>
        <v>-3.2842954475137691E-3</v>
      </c>
      <c r="V69" s="65">
        <v>65</v>
      </c>
      <c r="W69" s="66">
        <f>Inputs!H72</f>
        <v>8.1060000000000004E-3</v>
      </c>
    </row>
    <row r="70" spans="1:23" x14ac:dyDescent="0.25">
      <c r="A70">
        <f t="shared" ref="A70" si="13">B70+$A$4</f>
        <v>120</v>
      </c>
      <c r="B70">
        <v>66</v>
      </c>
      <c r="C70" s="12">
        <f t="shared" ref="C70" si="14">VLOOKUP(A70,$V$4:$W$124,2,FALSE)</f>
        <v>1</v>
      </c>
      <c r="D70" s="61">
        <f t="shared" ref="D70" si="15">1-C70</f>
        <v>0</v>
      </c>
      <c r="E70" s="198">
        <f>IF(B70&lt;=$C$2,1,IF(B70=$C$2+1,PRODUCT($D$5:D70),E69*D70))</f>
        <v>0</v>
      </c>
      <c r="F70" s="62">
        <f t="shared" ref="F70" si="16">1-C70</f>
        <v>0</v>
      </c>
      <c r="G70" s="198">
        <f>IF(B70&lt;=$C$2,1,IF(B70=$C$2+1,PRODUCT($F$5:F70),G69*F70))</f>
        <v>0</v>
      </c>
      <c r="H70" s="63">
        <f t="shared" si="11"/>
        <v>0</v>
      </c>
      <c r="I70" s="63">
        <f t="shared" si="11"/>
        <v>0</v>
      </c>
      <c r="J70" s="60">
        <f t="shared" ref="J70" si="17">+E70+G70-I70</f>
        <v>0</v>
      </c>
      <c r="K70" s="10">
        <f t="shared" si="12"/>
        <v>0</v>
      </c>
      <c r="L70" s="60">
        <f t="shared" ref="L70" si="18">K70*J70</f>
        <v>0</v>
      </c>
      <c r="N70" s="13">
        <f t="shared" ref="N70" si="19">J70*$N$1</f>
        <v>0</v>
      </c>
      <c r="O70" s="11">
        <f>(SUM(L71:$L$79)*$N$1)</f>
        <v>0</v>
      </c>
      <c r="P70" s="11">
        <f t="shared" ref="P70" si="20">O70-O69</f>
        <v>0</v>
      </c>
      <c r="V70" s="65">
        <v>66</v>
      </c>
      <c r="W70" s="66">
        <f>Inputs!H73</f>
        <v>8.548E-3</v>
      </c>
    </row>
    <row r="71" spans="1:23" x14ac:dyDescent="0.25">
      <c r="C71" s="12"/>
      <c r="D71" s="10"/>
      <c r="E71" s="10"/>
      <c r="F71" s="10"/>
      <c r="G71" s="10"/>
      <c r="H71" s="10"/>
      <c r="I71" s="10"/>
      <c r="J71" s="10"/>
      <c r="K71" s="10"/>
      <c r="L71" s="10"/>
      <c r="N71" s="13"/>
      <c r="O71" s="11"/>
      <c r="P71" s="11"/>
      <c r="V71" s="65">
        <v>67</v>
      </c>
      <c r="W71" s="66">
        <f>Inputs!H74</f>
        <v>9.0760000000000007E-3</v>
      </c>
    </row>
    <row r="72" spans="1:23" x14ac:dyDescent="0.25">
      <c r="C72" s="12"/>
      <c r="D72" s="10"/>
      <c r="E72" s="10"/>
      <c r="F72" s="10"/>
      <c r="G72" s="10"/>
      <c r="H72" s="10"/>
      <c r="I72" s="10"/>
      <c r="J72" s="10"/>
      <c r="K72" s="10"/>
      <c r="L72" s="10"/>
      <c r="N72" s="13"/>
      <c r="O72" s="11"/>
      <c r="P72" s="11"/>
      <c r="V72" s="65">
        <v>68</v>
      </c>
      <c r="W72" s="66">
        <f>Inputs!H75</f>
        <v>9.7079999999999996E-3</v>
      </c>
    </row>
    <row r="73" spans="1:23" x14ac:dyDescent="0.25">
      <c r="C73" s="12"/>
      <c r="D73" s="10"/>
      <c r="E73" s="10"/>
      <c r="F73" s="10"/>
      <c r="G73" s="10"/>
      <c r="H73" s="10"/>
      <c r="I73" s="10"/>
      <c r="J73" s="10"/>
      <c r="K73" s="10"/>
      <c r="L73" s="10"/>
      <c r="N73" s="13"/>
      <c r="O73" s="11"/>
      <c r="P73" s="11"/>
      <c r="V73" s="65">
        <v>69</v>
      </c>
      <c r="W73" s="66">
        <f>Inputs!H76</f>
        <v>1.0463E-2</v>
      </c>
    </row>
    <row r="74" spans="1:23" x14ac:dyDescent="0.25">
      <c r="C74" s="12"/>
      <c r="D74" s="10"/>
      <c r="E74" s="10"/>
      <c r="F74" s="10"/>
      <c r="G74" s="10"/>
      <c r="H74" s="10"/>
      <c r="I74" s="10"/>
      <c r="J74" s="10"/>
      <c r="K74" s="10"/>
      <c r="L74" s="10"/>
      <c r="N74" s="13"/>
      <c r="O74" s="11"/>
      <c r="P74" s="11"/>
      <c r="V74" s="65">
        <v>70</v>
      </c>
      <c r="W74" s="66">
        <f>Inputs!H77</f>
        <v>1.1357000000000001E-2</v>
      </c>
    </row>
    <row r="75" spans="1:23" x14ac:dyDescent="0.25">
      <c r="C75" s="12"/>
      <c r="D75" s="10"/>
      <c r="E75" s="10"/>
      <c r="F75" s="10"/>
      <c r="G75" s="10"/>
      <c r="H75" s="10"/>
      <c r="I75" s="10"/>
      <c r="J75" s="10"/>
      <c r="K75" s="10"/>
      <c r="L75" s="10"/>
      <c r="N75" s="13"/>
      <c r="O75" s="11"/>
      <c r="P75" s="11"/>
      <c r="V75" s="65">
        <v>71</v>
      </c>
      <c r="W75" s="66">
        <f>Inputs!H78</f>
        <v>1.2418E-2</v>
      </c>
    </row>
    <row r="76" spans="1:23" x14ac:dyDescent="0.25">
      <c r="C76" s="12"/>
      <c r="D76" s="10"/>
      <c r="E76" s="10"/>
      <c r="F76" s="10"/>
      <c r="G76" s="10"/>
      <c r="H76" s="10"/>
      <c r="I76" s="10"/>
      <c r="J76" s="10"/>
      <c r="K76" s="10"/>
      <c r="L76" s="10"/>
      <c r="N76" s="13"/>
      <c r="O76" s="11"/>
      <c r="P76" s="11"/>
      <c r="V76" s="65">
        <v>72</v>
      </c>
      <c r="W76" s="66">
        <f>Inputs!H79</f>
        <v>1.3675E-2</v>
      </c>
    </row>
    <row r="77" spans="1:23" x14ac:dyDescent="0.25">
      <c r="C77" s="12"/>
      <c r="D77" s="10"/>
      <c r="E77" s="10"/>
      <c r="F77" s="10"/>
      <c r="G77" s="10"/>
      <c r="H77" s="10"/>
      <c r="I77" s="10"/>
      <c r="J77" s="10"/>
      <c r="K77" s="10"/>
      <c r="L77" s="10"/>
      <c r="N77" s="13"/>
      <c r="O77" s="11"/>
      <c r="P77" s="11"/>
      <c r="V77" s="65">
        <v>73</v>
      </c>
      <c r="W77" s="66">
        <f>Inputs!H80</f>
        <v>1.515E-2</v>
      </c>
    </row>
    <row r="78" spans="1:23" x14ac:dyDescent="0.25">
      <c r="C78" s="12"/>
      <c r="D78" s="10"/>
      <c r="E78" s="10"/>
      <c r="F78" s="10"/>
      <c r="G78" s="10"/>
      <c r="H78" s="10"/>
      <c r="I78" s="10"/>
      <c r="J78" s="10"/>
      <c r="K78" s="10"/>
      <c r="L78" s="10"/>
      <c r="N78" s="13"/>
      <c r="O78" s="11"/>
      <c r="P78" s="11"/>
      <c r="V78" s="65">
        <v>74</v>
      </c>
      <c r="W78" s="66">
        <f>Inputs!H81</f>
        <v>1.686E-2</v>
      </c>
    </row>
    <row r="79" spans="1:23" x14ac:dyDescent="0.25">
      <c r="C79" s="12"/>
      <c r="D79" s="10"/>
      <c r="E79" s="10"/>
      <c r="F79" s="10"/>
      <c r="G79" s="10"/>
      <c r="H79" s="10"/>
      <c r="I79" s="10"/>
      <c r="J79" s="10"/>
      <c r="K79" s="10"/>
      <c r="L79" s="10"/>
      <c r="N79" s="13"/>
      <c r="O79" s="11"/>
      <c r="P79" s="11"/>
      <c r="V79" s="65">
        <v>75</v>
      </c>
      <c r="W79" s="66">
        <f>Inputs!H82</f>
        <v>1.8814999999999998E-2</v>
      </c>
    </row>
    <row r="80" spans="1:23" x14ac:dyDescent="0.25">
      <c r="C80" s="25"/>
      <c r="V80" s="65">
        <v>76</v>
      </c>
      <c r="W80" s="66">
        <f>Inputs!H83</f>
        <v>2.1031000000000001E-2</v>
      </c>
    </row>
    <row r="81" spans="3:23" x14ac:dyDescent="0.25">
      <c r="C81" s="25"/>
      <c r="V81" s="65">
        <v>77</v>
      </c>
      <c r="W81" s="66">
        <f>Inputs!H84</f>
        <v>2.3539999999999998E-2</v>
      </c>
    </row>
    <row r="82" spans="3:23" x14ac:dyDescent="0.25">
      <c r="C82" s="25"/>
      <c r="V82" s="65">
        <v>78</v>
      </c>
      <c r="W82" s="66">
        <f>Inputs!H85</f>
        <v>2.6374999999999999E-2</v>
      </c>
    </row>
    <row r="83" spans="3:23" x14ac:dyDescent="0.25">
      <c r="C83" s="25"/>
      <c r="V83" s="65">
        <v>79</v>
      </c>
      <c r="W83" s="66">
        <f>Inputs!H86</f>
        <v>2.9572000000000001E-2</v>
      </c>
    </row>
    <row r="84" spans="3:23" x14ac:dyDescent="0.25">
      <c r="C84" s="25"/>
      <c r="V84" s="65">
        <v>80</v>
      </c>
      <c r="W84" s="66">
        <f>Inputs!H87</f>
        <v>3.3234E-2</v>
      </c>
    </row>
    <row r="85" spans="3:23" x14ac:dyDescent="0.25">
      <c r="C85" s="25"/>
      <c r="V85" s="65">
        <v>81</v>
      </c>
      <c r="W85" s="66">
        <f>Inputs!H88</f>
        <v>3.7532999999999997E-2</v>
      </c>
    </row>
    <row r="86" spans="3:23" x14ac:dyDescent="0.25">
      <c r="C86" s="25"/>
      <c r="V86" s="65">
        <v>82</v>
      </c>
      <c r="W86" s="66">
        <f>Inputs!H89</f>
        <v>4.2261E-2</v>
      </c>
    </row>
    <row r="87" spans="3:23" x14ac:dyDescent="0.25">
      <c r="C87" s="25"/>
      <c r="V87" s="65">
        <v>83</v>
      </c>
      <c r="W87" s="66">
        <f>Inputs!H90</f>
        <v>4.7440999999999997E-2</v>
      </c>
    </row>
    <row r="88" spans="3:23" x14ac:dyDescent="0.25">
      <c r="C88" s="25"/>
      <c r="V88" s="65">
        <v>84</v>
      </c>
      <c r="W88" s="66">
        <f>Inputs!H91</f>
        <v>5.3233000000000003E-2</v>
      </c>
    </row>
    <row r="89" spans="3:23" x14ac:dyDescent="0.25">
      <c r="C89" s="25"/>
      <c r="V89" s="65">
        <v>85</v>
      </c>
      <c r="W89" s="66">
        <f>Inputs!H92</f>
        <v>5.9854999999999998E-2</v>
      </c>
    </row>
    <row r="90" spans="3:23" x14ac:dyDescent="0.25">
      <c r="C90" s="25"/>
      <c r="V90" s="65">
        <v>86</v>
      </c>
      <c r="W90" s="66">
        <f>Inputs!H93</f>
        <v>6.7514000000000005E-2</v>
      </c>
    </row>
    <row r="91" spans="3:23" x14ac:dyDescent="0.25">
      <c r="C91" s="25"/>
      <c r="V91" s="65">
        <v>87</v>
      </c>
      <c r="W91" s="66">
        <f>Inputs!H94</f>
        <v>7.6340000000000005E-2</v>
      </c>
    </row>
    <row r="92" spans="3:23" x14ac:dyDescent="0.25">
      <c r="C92" s="25"/>
      <c r="V92" s="65">
        <v>88</v>
      </c>
      <c r="W92" s="66">
        <f>Inputs!H95</f>
        <v>8.6388000000000006E-2</v>
      </c>
    </row>
    <row r="93" spans="3:23" x14ac:dyDescent="0.25">
      <c r="C93" s="25"/>
      <c r="V93" s="65">
        <v>89</v>
      </c>
      <c r="W93" s="66">
        <f>Inputs!H96</f>
        <v>9.7633999999999999E-2</v>
      </c>
    </row>
    <row r="94" spans="3:23" x14ac:dyDescent="0.25">
      <c r="C94" s="25"/>
      <c r="V94" s="65">
        <v>90</v>
      </c>
      <c r="W94" s="66">
        <f>Inputs!H97</f>
        <v>0.10999299999999999</v>
      </c>
    </row>
    <row r="95" spans="3:23" x14ac:dyDescent="0.25">
      <c r="C95" s="25"/>
      <c r="V95" s="65">
        <v>91</v>
      </c>
      <c r="W95" s="66">
        <f>Inputs!H98</f>
        <v>0.12311900000000001</v>
      </c>
    </row>
    <row r="96" spans="3:23" x14ac:dyDescent="0.25">
      <c r="C96" s="25"/>
      <c r="V96" s="65">
        <v>92</v>
      </c>
      <c r="W96" s="66">
        <f>Inputs!H99</f>
        <v>0.13716800000000001</v>
      </c>
    </row>
    <row r="97" spans="3:23" x14ac:dyDescent="0.25">
      <c r="C97" s="25"/>
      <c r="V97" s="65">
        <v>93</v>
      </c>
      <c r="W97" s="66">
        <f>Inputs!H100</f>
        <v>0.152171</v>
      </c>
    </row>
    <row r="98" spans="3:23" x14ac:dyDescent="0.25">
      <c r="C98" s="25"/>
      <c r="V98" s="65">
        <v>94</v>
      </c>
      <c r="W98" s="66">
        <f>Inputs!H101</f>
        <v>0.16819400000000001</v>
      </c>
    </row>
    <row r="99" spans="3:23" x14ac:dyDescent="0.25">
      <c r="C99" s="25"/>
      <c r="V99" s="65">
        <v>95</v>
      </c>
      <c r="W99" s="66">
        <f>Inputs!H102</f>
        <v>0.18526000000000001</v>
      </c>
    </row>
    <row r="100" spans="3:23" x14ac:dyDescent="0.25">
      <c r="C100" s="25"/>
      <c r="V100" s="65">
        <v>96</v>
      </c>
      <c r="W100" s="66">
        <f>Inputs!H103</f>
        <v>0.197322</v>
      </c>
    </row>
    <row r="101" spans="3:23" x14ac:dyDescent="0.25">
      <c r="C101" s="25"/>
      <c r="V101" s="65">
        <v>97</v>
      </c>
      <c r="W101" s="66">
        <f>Inputs!H104</f>
        <v>0.214751</v>
      </c>
    </row>
    <row r="102" spans="3:23" x14ac:dyDescent="0.25">
      <c r="C102" s="25"/>
      <c r="V102" s="65">
        <v>98</v>
      </c>
      <c r="W102" s="66">
        <f>Inputs!H105</f>
        <v>0.23250699999999999</v>
      </c>
    </row>
    <row r="103" spans="3:23" x14ac:dyDescent="0.25">
      <c r="C103" s="25"/>
      <c r="V103" s="65">
        <v>99</v>
      </c>
      <c r="W103" s="66">
        <f>Inputs!H106</f>
        <v>0.25039699999999998</v>
      </c>
    </row>
    <row r="104" spans="3:23" x14ac:dyDescent="0.25">
      <c r="C104" s="25"/>
      <c r="V104" s="65">
        <v>100</v>
      </c>
      <c r="W104" s="66">
        <f>Inputs!H107</f>
        <v>0.26860699999999998</v>
      </c>
    </row>
    <row r="105" spans="3:23" x14ac:dyDescent="0.25">
      <c r="C105" s="25"/>
      <c r="V105" s="65">
        <v>101</v>
      </c>
      <c r="W105" s="66">
        <f>Inputs!H108</f>
        <v>0.290016</v>
      </c>
    </row>
    <row r="106" spans="3:23" x14ac:dyDescent="0.25">
      <c r="C106" s="25"/>
      <c r="V106" s="65">
        <v>102</v>
      </c>
      <c r="W106" s="66">
        <f>Inputs!H109</f>
        <v>0.31184899999999999</v>
      </c>
    </row>
    <row r="107" spans="3:23" x14ac:dyDescent="0.25">
      <c r="C107" s="25"/>
      <c r="V107" s="65">
        <v>103</v>
      </c>
      <c r="W107" s="66">
        <f>Inputs!H110</f>
        <v>0.33396199999999998</v>
      </c>
    </row>
    <row r="108" spans="3:23" x14ac:dyDescent="0.25">
      <c r="C108" s="25"/>
      <c r="V108" s="65">
        <v>104</v>
      </c>
      <c r="W108" s="66">
        <f>Inputs!H111</f>
        <v>0.356207</v>
      </c>
    </row>
    <row r="109" spans="3:23" x14ac:dyDescent="0.25">
      <c r="C109" s="25"/>
      <c r="V109" s="65">
        <v>105</v>
      </c>
      <c r="W109" s="66">
        <f>Inputs!H112</f>
        <v>0.38</v>
      </c>
    </row>
    <row r="110" spans="3:23" x14ac:dyDescent="0.25">
      <c r="C110" s="25"/>
      <c r="V110" s="65">
        <v>106</v>
      </c>
      <c r="W110" s="66">
        <f>Inputs!H113</f>
        <v>0.4</v>
      </c>
    </row>
    <row r="111" spans="3:23" x14ac:dyDescent="0.25">
      <c r="C111" s="25"/>
      <c r="V111" s="65">
        <v>107</v>
      </c>
      <c r="W111" s="66">
        <f>Inputs!H114</f>
        <v>0.4</v>
      </c>
    </row>
    <row r="112" spans="3:23" x14ac:dyDescent="0.25">
      <c r="C112" s="25"/>
      <c r="V112" s="65">
        <v>108</v>
      </c>
      <c r="W112" s="66">
        <f>Inputs!H115</f>
        <v>0.4</v>
      </c>
    </row>
    <row r="113" spans="3:23" x14ac:dyDescent="0.25">
      <c r="C113" s="25"/>
      <c r="V113" s="65">
        <v>109</v>
      </c>
      <c r="W113" s="66">
        <f>Inputs!H116</f>
        <v>0.4</v>
      </c>
    </row>
    <row r="114" spans="3:23" x14ac:dyDescent="0.25">
      <c r="C114" s="25"/>
      <c r="V114" s="65">
        <v>110</v>
      </c>
      <c r="W114" s="66">
        <f>Inputs!H117</f>
        <v>0.4</v>
      </c>
    </row>
    <row r="115" spans="3:23" x14ac:dyDescent="0.25">
      <c r="C115" s="25"/>
      <c r="V115" s="65">
        <v>111</v>
      </c>
      <c r="W115" s="66">
        <f>Inputs!H118</f>
        <v>0.4</v>
      </c>
    </row>
    <row r="116" spans="3:23" x14ac:dyDescent="0.25">
      <c r="C116" s="25"/>
      <c r="V116" s="65">
        <v>112</v>
      </c>
      <c r="W116" s="66">
        <f>Inputs!H119</f>
        <v>0.4</v>
      </c>
    </row>
    <row r="117" spans="3:23" x14ac:dyDescent="0.25">
      <c r="C117" s="25"/>
      <c r="V117" s="65">
        <v>113</v>
      </c>
      <c r="W117" s="66">
        <f>Inputs!H120</f>
        <v>0.4</v>
      </c>
    </row>
    <row r="118" spans="3:23" x14ac:dyDescent="0.25">
      <c r="C118" s="25"/>
      <c r="V118" s="65">
        <v>114</v>
      </c>
      <c r="W118" s="66">
        <f>Inputs!H121</f>
        <v>0.4</v>
      </c>
    </row>
    <row r="119" spans="3:23" x14ac:dyDescent="0.25">
      <c r="C119" s="25"/>
      <c r="V119" s="65">
        <v>115</v>
      </c>
      <c r="W119" s="66">
        <f>Inputs!H122</f>
        <v>0.4</v>
      </c>
    </row>
    <row r="120" spans="3:23" x14ac:dyDescent="0.25">
      <c r="C120" s="25"/>
      <c r="V120" s="65">
        <v>116</v>
      </c>
      <c r="W120" s="66">
        <f>Inputs!H123</f>
        <v>0.4</v>
      </c>
    </row>
    <row r="121" spans="3:23" x14ac:dyDescent="0.25">
      <c r="C121" s="25"/>
      <c r="V121" s="65">
        <v>117</v>
      </c>
      <c r="W121" s="66">
        <f>Inputs!H124</f>
        <v>0.4</v>
      </c>
    </row>
    <row r="122" spans="3:23" x14ac:dyDescent="0.25">
      <c r="C122" s="25"/>
      <c r="V122" s="65">
        <v>118</v>
      </c>
      <c r="W122" s="66">
        <f>Inputs!H125</f>
        <v>0.4</v>
      </c>
    </row>
    <row r="123" spans="3:23" x14ac:dyDescent="0.25">
      <c r="C123" s="25"/>
      <c r="V123" s="65">
        <v>119</v>
      </c>
      <c r="W123" s="66">
        <f>Inputs!H126</f>
        <v>0.4</v>
      </c>
    </row>
    <row r="124" spans="3:23" ht="15.75" thickBot="1" x14ac:dyDescent="0.3">
      <c r="C124" s="25"/>
      <c r="V124" s="67">
        <v>120</v>
      </c>
      <c r="W124" s="66">
        <f>Inputs!H127</f>
        <v>1</v>
      </c>
    </row>
    <row r="125" spans="3:23" x14ac:dyDescent="0.25">
      <c r="D125" s="35"/>
      <c r="E125" s="35"/>
    </row>
    <row r="126" spans="3:23" x14ac:dyDescent="0.25">
      <c r="D126" s="35"/>
      <c r="E126" s="35"/>
    </row>
    <row r="127" spans="3:23" x14ac:dyDescent="0.25">
      <c r="D127" s="35"/>
      <c r="E127" s="35"/>
    </row>
    <row r="128" spans="3:23" x14ac:dyDescent="0.25">
      <c r="D128" s="35"/>
      <c r="E128" s="35"/>
    </row>
    <row r="129" spans="3:5" x14ac:dyDescent="0.25">
      <c r="D129" s="35"/>
      <c r="E129" s="35"/>
    </row>
    <row r="130" spans="3:5" x14ac:dyDescent="0.25">
      <c r="D130" s="35"/>
      <c r="E130" s="35"/>
    </row>
    <row r="131" spans="3:5" x14ac:dyDescent="0.25">
      <c r="D131" s="35"/>
      <c r="E131" s="35"/>
    </row>
    <row r="133" spans="3:5" x14ac:dyDescent="0.25">
      <c r="C133" s="25"/>
    </row>
    <row r="134" spans="3:5" x14ac:dyDescent="0.25">
      <c r="C134" s="25"/>
    </row>
    <row r="135" spans="3:5" x14ac:dyDescent="0.25">
      <c r="C135" s="25"/>
    </row>
    <row r="136" spans="3:5" x14ac:dyDescent="0.25">
      <c r="C136" s="25"/>
    </row>
    <row r="137" spans="3:5" x14ac:dyDescent="0.25">
      <c r="C137" s="25"/>
    </row>
    <row r="138" spans="3:5" x14ac:dyDescent="0.25">
      <c r="C138" s="25"/>
    </row>
    <row r="139" spans="3:5" x14ac:dyDescent="0.25">
      <c r="C139" s="25"/>
    </row>
    <row r="140" spans="3:5" x14ac:dyDescent="0.25">
      <c r="C140" s="25"/>
    </row>
    <row r="141" spans="3:5" x14ac:dyDescent="0.25">
      <c r="C141" s="25"/>
    </row>
    <row r="142" spans="3:5" x14ac:dyDescent="0.25">
      <c r="C142" s="25"/>
    </row>
    <row r="143" spans="3:5" x14ac:dyDescent="0.25">
      <c r="C143" s="25"/>
    </row>
    <row r="144" spans="3:5"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70">
    <cfRule type="cellIs" dxfId="3" priority="2" operator="equal">
      <formula>1</formula>
    </cfRule>
  </conditionalFormatting>
  <conditionalFormatting sqref="G5:G70">
    <cfRule type="cellIs" dxfId="2" priority="1" operator="equal">
      <formula>1</formula>
    </cfRule>
  </conditionalFormatting>
  <hyperlinks>
    <hyperlink ref="O1" location="'Read Me'!A1" display="Return to 'Read Me'"/>
    <hyperlink ref="O2" location="Summary!A1" display="Return to 'Summary'"/>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4"/>
  <sheetViews>
    <sheetView topLeftCell="D100" workbookViewId="0">
      <selection activeCell="E124" sqref="E124:G131"/>
    </sheetView>
  </sheetViews>
  <sheetFormatPr defaultRowHeight="15" x14ac:dyDescent="0.25"/>
  <cols>
    <col min="1" max="1" width="4.375" bestFit="1" customWidth="1"/>
    <col min="3" max="5" width="10" bestFit="1" customWidth="1"/>
    <col min="6" max="10" width="10" customWidth="1"/>
    <col min="11" max="12" width="10" bestFit="1" customWidth="1"/>
    <col min="13" max="13" width="3.75" customWidth="1"/>
    <col min="14" max="15" width="13.25" customWidth="1"/>
    <col min="16" max="16" width="10.125" customWidth="1"/>
    <col min="17" max="17" width="12" customWidth="1"/>
    <col min="18" max="18" width="11.625" bestFit="1" customWidth="1"/>
    <col min="19" max="19" width="11.625" customWidth="1"/>
    <col min="20" max="20" width="7.125" bestFit="1" customWidth="1"/>
    <col min="21" max="21" width="4.75" customWidth="1"/>
  </cols>
  <sheetData>
    <row r="1" spans="1:23" x14ac:dyDescent="0.25">
      <c r="B1" t="s">
        <v>61</v>
      </c>
      <c r="N1" s="3">
        <v>5000</v>
      </c>
      <c r="O1" s="181" t="s">
        <v>173</v>
      </c>
      <c r="Q1" s="1"/>
      <c r="R1" s="4"/>
      <c r="S1" s="4"/>
      <c r="T1" s="4"/>
      <c r="U1" s="4"/>
      <c r="V1" s="64"/>
      <c r="W1" s="28"/>
    </row>
    <row r="2" spans="1:23" ht="15.75" customHeight="1" thickBot="1" x14ac:dyDescent="0.3">
      <c r="B2" t="s">
        <v>227</v>
      </c>
      <c r="C2">
        <v>0</v>
      </c>
      <c r="D2" s="29" t="s">
        <v>52</v>
      </c>
      <c r="F2" s="29" t="s">
        <v>53</v>
      </c>
      <c r="K2" s="5">
        <f>Inputs!B6</f>
        <v>0.04</v>
      </c>
      <c r="O2" s="166" t="s">
        <v>174</v>
      </c>
      <c r="Q2" s="6"/>
      <c r="R2" s="4"/>
      <c r="S2" s="4"/>
      <c r="T2" s="4"/>
      <c r="U2" s="4"/>
      <c r="V2" s="172" t="s">
        <v>160</v>
      </c>
      <c r="W2" s="28"/>
    </row>
    <row r="3" spans="1:23" ht="45" x14ac:dyDescent="0.25">
      <c r="A3" s="7" t="s">
        <v>19</v>
      </c>
      <c r="B3" s="7" t="s">
        <v>7</v>
      </c>
      <c r="C3" s="8" t="s">
        <v>20</v>
      </c>
      <c r="D3" s="55" t="s">
        <v>21</v>
      </c>
      <c r="E3" s="55" t="s">
        <v>22</v>
      </c>
      <c r="F3" s="56" t="s">
        <v>54</v>
      </c>
      <c r="G3" s="56" t="s">
        <v>55</v>
      </c>
      <c r="H3" s="57" t="s">
        <v>56</v>
      </c>
      <c r="I3" s="57" t="s">
        <v>57</v>
      </c>
      <c r="J3" s="58" t="s">
        <v>58</v>
      </c>
      <c r="K3" s="7" t="s">
        <v>11</v>
      </c>
      <c r="L3" s="58" t="s">
        <v>12</v>
      </c>
      <c r="N3" s="7" t="s">
        <v>13</v>
      </c>
      <c r="O3" s="7" t="s">
        <v>14</v>
      </c>
      <c r="Q3" s="7" t="s">
        <v>15</v>
      </c>
      <c r="R3" s="59">
        <f>+SUMPRODUCT(B5:B59,N5:N59,K5:K59)/SUMPRODUCT(K5:K59,N5:N59)</f>
        <v>4.471404956996242</v>
      </c>
      <c r="S3" s="10"/>
      <c r="T3" s="10"/>
      <c r="U3" s="10"/>
      <c r="V3" s="31"/>
      <c r="W3" s="32"/>
    </row>
    <row r="4" spans="1:23" x14ac:dyDescent="0.25">
      <c r="A4">
        <v>90</v>
      </c>
      <c r="B4">
        <v>0</v>
      </c>
      <c r="C4" s="8"/>
      <c r="D4" s="55"/>
      <c r="E4" s="55"/>
      <c r="F4" s="56"/>
      <c r="G4" s="56"/>
      <c r="H4" s="57"/>
      <c r="I4" s="57"/>
      <c r="J4" s="58"/>
      <c r="K4" s="7"/>
      <c r="L4" s="60">
        <v>1</v>
      </c>
      <c r="O4" s="11">
        <f>(SUM(L5:$L$79)*$N$1)</f>
        <v>27707.293459983364</v>
      </c>
      <c r="Q4" s="14"/>
      <c r="R4" s="14"/>
      <c r="S4" s="14"/>
      <c r="T4" s="14"/>
      <c r="V4" s="65">
        <v>0</v>
      </c>
      <c r="W4" s="66">
        <f>Inputs!H7</f>
        <v>1.6050000000000001E-3</v>
      </c>
    </row>
    <row r="5" spans="1:23" ht="15.75" thickBot="1" x14ac:dyDescent="0.3">
      <c r="A5">
        <f>B5+$A$4</f>
        <v>91</v>
      </c>
      <c r="B5">
        <v>1</v>
      </c>
      <c r="C5" s="12">
        <f>VLOOKUP(A5,$V$4:$W$124,2,FALSE)</f>
        <v>0.12311900000000001</v>
      </c>
      <c r="D5" s="61">
        <f>1-C5</f>
        <v>0.87688100000000002</v>
      </c>
      <c r="E5" s="198">
        <f>IF(B5&lt;=$C$2,1,IF(B5=$C$2+1,PRODUCT($D$5:D5),E4*D5))</f>
        <v>0.87688100000000002</v>
      </c>
      <c r="F5" s="62">
        <f>1-C5</f>
        <v>0.87688100000000002</v>
      </c>
      <c r="G5" s="198">
        <f>IF(B5&lt;=$C$2,1,IF(B5=$C$2+1,PRODUCT($F$5:F5),G4*F5))</f>
        <v>0.87688100000000002</v>
      </c>
      <c r="H5" s="63">
        <f>+D5*F5</f>
        <v>0.768920288161</v>
      </c>
      <c r="I5" s="63">
        <f>+E5*G5</f>
        <v>0.768920288161</v>
      </c>
      <c r="J5" s="60">
        <f>+E5+G5-I5</f>
        <v>0.98484171183900004</v>
      </c>
      <c r="K5" s="10">
        <f t="shared" ref="K5:K34" si="0">IF(D5=0,0,(1+$K$2)^-B5)</f>
        <v>0.96153846153846145</v>
      </c>
      <c r="L5" s="60">
        <f>K5*J5</f>
        <v>0.94696318446057692</v>
      </c>
      <c r="N5" s="13">
        <f>J5*$N$1</f>
        <v>4924.2085591949999</v>
      </c>
      <c r="O5" s="11">
        <f>(SUM(L6:$L$79)*$N$1)</f>
        <v>22972.477537680479</v>
      </c>
      <c r="P5" s="11">
        <f>O5-O4</f>
        <v>-4734.8159223028852</v>
      </c>
      <c r="Q5" s="14" t="s">
        <v>16</v>
      </c>
      <c r="R5" s="14" t="s">
        <v>17</v>
      </c>
      <c r="S5" s="14" t="s">
        <v>18</v>
      </c>
      <c r="T5" s="14" t="s">
        <v>47</v>
      </c>
      <c r="V5" s="65">
        <v>1</v>
      </c>
      <c r="W5" s="66">
        <f>Inputs!H8</f>
        <v>4.0099999999999999E-4</v>
      </c>
    </row>
    <row r="6" spans="1:23" x14ac:dyDescent="0.25">
      <c r="A6">
        <f t="shared" ref="A6:A34" si="1">B6+$A$4</f>
        <v>92</v>
      </c>
      <c r="B6">
        <v>2</v>
      </c>
      <c r="C6" s="12">
        <f t="shared" ref="C6:C34" si="2">VLOOKUP(A6,$V$4:$W$124,2,FALSE)</f>
        <v>0.13716800000000001</v>
      </c>
      <c r="D6" s="61">
        <f t="shared" ref="D6:D34" si="3">1-C6</f>
        <v>0.86283200000000004</v>
      </c>
      <c r="E6" s="198">
        <f>IF(B6&lt;=$C$2,1,IF(B6=$C$2+1,PRODUCT($D$5:D6),E5*D6))</f>
        <v>0.75660098699200007</v>
      </c>
      <c r="F6" s="62">
        <f t="shared" ref="F6:F34" si="4">1-C6</f>
        <v>0.86283200000000004</v>
      </c>
      <c r="G6" s="198">
        <f>IF(B6&lt;=$C$2,1,IF(B6=$C$2+1,PRODUCT($F$5:F6),G5*F6))</f>
        <v>0.75660098699200007</v>
      </c>
      <c r="H6" s="63">
        <f t="shared" ref="H6:I34" si="5">+D6*F6</f>
        <v>0.74447906022400012</v>
      </c>
      <c r="I6" s="63">
        <f t="shared" si="5"/>
        <v>0.57244505351726871</v>
      </c>
      <c r="J6" s="60">
        <f t="shared" ref="J6:J34" si="6">+E6+G6-I6</f>
        <v>0.94075692046673143</v>
      </c>
      <c r="K6" s="10">
        <f t="shared" si="0"/>
        <v>0.92455621301775137</v>
      </c>
      <c r="L6" s="60">
        <f t="shared" ref="L6:L34" si="7">K6*J6</f>
        <v>0.86978265575696312</v>
      </c>
      <c r="N6" s="13">
        <f t="shared" ref="N6:N34" si="8">J6*$N$1</f>
        <v>4703.7846023336569</v>
      </c>
      <c r="O6" s="11">
        <f>(SUM(L7:$L$79)*$N$1)</f>
        <v>18623.564258895654</v>
      </c>
      <c r="P6" s="11">
        <f t="shared" ref="P6:P34" si="9">O6-O5</f>
        <v>-4348.9132787848248</v>
      </c>
      <c r="Q6" s="14">
        <v>2</v>
      </c>
      <c r="R6" s="54" t="s">
        <v>44</v>
      </c>
      <c r="S6" s="15">
        <f>SUM(N5:N7)</f>
        <v>13985.268112139527</v>
      </c>
      <c r="T6" s="16">
        <f>S6/SUM($S$6:$S$9)</f>
        <v>0.42026187083667099</v>
      </c>
      <c r="V6" s="65">
        <v>2</v>
      </c>
      <c r="W6" s="66">
        <f>Inputs!H9</f>
        <v>2.7500000000000002E-4</v>
      </c>
    </row>
    <row r="7" spans="1:23" x14ac:dyDescent="0.25">
      <c r="A7">
        <f t="shared" si="1"/>
        <v>93</v>
      </c>
      <c r="B7">
        <v>3</v>
      </c>
      <c r="C7" s="12">
        <f t="shared" si="2"/>
        <v>0.152171</v>
      </c>
      <c r="D7" s="61">
        <f t="shared" si="3"/>
        <v>0.84782899999999994</v>
      </c>
      <c r="E7" s="198">
        <f>IF(B7&lt;=$C$2,1,IF(B7=$C$2+1,PRODUCT($D$5:D7),E6*D7))</f>
        <v>0.6414682582004404</v>
      </c>
      <c r="F7" s="62">
        <f t="shared" si="4"/>
        <v>0.84782899999999994</v>
      </c>
      <c r="G7" s="198">
        <f>IF(B7&lt;=$C$2,1,IF(B7=$C$2+1,PRODUCT($F$5:F7),G6*F7))</f>
        <v>0.6414682582004404</v>
      </c>
      <c r="H7" s="63">
        <f t="shared" si="5"/>
        <v>0.71881401324099992</v>
      </c>
      <c r="I7" s="63">
        <f t="shared" si="5"/>
        <v>0.41148152627870688</v>
      </c>
      <c r="J7" s="60">
        <f t="shared" si="6"/>
        <v>0.87145499012217398</v>
      </c>
      <c r="K7" s="10">
        <f t="shared" si="0"/>
        <v>0.88899635867091487</v>
      </c>
      <c r="L7" s="60">
        <f t="shared" si="7"/>
        <v>0.77472031296421073</v>
      </c>
      <c r="N7" s="13">
        <f t="shared" si="8"/>
        <v>4357.2749506108703</v>
      </c>
      <c r="O7" s="11">
        <f>(SUM(L8:$L$79)*$N$1)</f>
        <v>14749.9626940746</v>
      </c>
      <c r="P7" s="11">
        <f t="shared" si="9"/>
        <v>-3873.6015648210541</v>
      </c>
      <c r="Q7" s="14">
        <v>5</v>
      </c>
      <c r="R7" s="19" t="s">
        <v>45</v>
      </c>
      <c r="S7" s="17">
        <f>SUM(N8:N11)</f>
        <v>12559.905222065434</v>
      </c>
      <c r="T7" s="18">
        <f t="shared" ref="T7:T9" si="10">S7/SUM($S$6:$S$9)</f>
        <v>0.377429250825351</v>
      </c>
      <c r="V7" s="65">
        <v>3</v>
      </c>
      <c r="W7" s="66">
        <f>Inputs!H10</f>
        <v>2.2900000000000001E-4</v>
      </c>
    </row>
    <row r="8" spans="1:23" x14ac:dyDescent="0.25">
      <c r="A8">
        <f t="shared" si="1"/>
        <v>94</v>
      </c>
      <c r="B8">
        <v>4</v>
      </c>
      <c r="C8" s="12">
        <f t="shared" si="2"/>
        <v>0.16819400000000001</v>
      </c>
      <c r="D8" s="61">
        <f t="shared" si="3"/>
        <v>0.83180600000000005</v>
      </c>
      <c r="E8" s="198">
        <f>IF(B8&lt;=$C$2,1,IF(B8=$C$2+1,PRODUCT($D$5:D8),E7*D8))</f>
        <v>0.53357714598067552</v>
      </c>
      <c r="F8" s="62">
        <f t="shared" si="4"/>
        <v>0.83180600000000005</v>
      </c>
      <c r="G8" s="198">
        <f>IF(B8&lt;=$C$2,1,IF(B8=$C$2+1,PRODUCT($F$5:F8),G7*F8))</f>
        <v>0.53357714598067552</v>
      </c>
      <c r="H8" s="63">
        <f t="shared" si="5"/>
        <v>0.6919012216360001</v>
      </c>
      <c r="I8" s="63">
        <f t="shared" si="5"/>
        <v>0.28470457071288313</v>
      </c>
      <c r="J8" s="60">
        <f t="shared" si="6"/>
        <v>0.7824497212484679</v>
      </c>
      <c r="K8" s="10">
        <f t="shared" si="0"/>
        <v>0.85480419102972571</v>
      </c>
      <c r="L8" s="60">
        <f t="shared" si="7"/>
        <v>0.66884130099323102</v>
      </c>
      <c r="N8" s="13">
        <f t="shared" si="8"/>
        <v>3912.2486062423395</v>
      </c>
      <c r="O8" s="11">
        <f>(SUM(L9:$L$79)*$N$1)</f>
        <v>11405.756189108446</v>
      </c>
      <c r="P8" s="11">
        <f t="shared" si="9"/>
        <v>-3344.2065049661542</v>
      </c>
      <c r="Q8" s="14">
        <v>10</v>
      </c>
      <c r="R8" s="19" t="s">
        <v>46</v>
      </c>
      <c r="S8" s="17">
        <f>SUM(N12:N19)</f>
        <v>6508.5048925166993</v>
      </c>
      <c r="T8" s="18">
        <f t="shared" si="10"/>
        <v>0.19558269605889164</v>
      </c>
      <c r="V8" s="65">
        <v>4</v>
      </c>
      <c r="W8" s="66">
        <f>Inputs!H11</f>
        <v>1.74E-4</v>
      </c>
    </row>
    <row r="9" spans="1:23" ht="15.75" thickBot="1" x14ac:dyDescent="0.3">
      <c r="A9">
        <f t="shared" si="1"/>
        <v>95</v>
      </c>
      <c r="B9">
        <v>5</v>
      </c>
      <c r="C9" s="12">
        <f t="shared" si="2"/>
        <v>0.18526000000000001</v>
      </c>
      <c r="D9" s="61">
        <f t="shared" si="3"/>
        <v>0.81474000000000002</v>
      </c>
      <c r="E9" s="198">
        <f>IF(B9&lt;=$C$2,1,IF(B9=$C$2+1,PRODUCT($D$5:D9),E8*D9))</f>
        <v>0.43472664391629556</v>
      </c>
      <c r="F9" s="62">
        <f t="shared" si="4"/>
        <v>0.81474000000000002</v>
      </c>
      <c r="G9" s="198">
        <f>IF(B9&lt;=$C$2,1,IF(B9=$C$2+1,PRODUCT($F$5:F9),G8*F9))</f>
        <v>0.43472664391629556</v>
      </c>
      <c r="H9" s="63">
        <f t="shared" si="5"/>
        <v>0.66380126760000002</v>
      </c>
      <c r="I9" s="63">
        <f t="shared" si="5"/>
        <v>0.18898725493072563</v>
      </c>
      <c r="J9" s="60">
        <f t="shared" si="6"/>
        <v>0.68046603290186547</v>
      </c>
      <c r="K9" s="10">
        <f t="shared" si="0"/>
        <v>0.82192710675935154</v>
      </c>
      <c r="L9" s="60">
        <f t="shared" si="7"/>
        <v>0.55929347767104398</v>
      </c>
      <c r="N9" s="13">
        <f t="shared" si="8"/>
        <v>3402.3301645093275</v>
      </c>
      <c r="O9" s="11">
        <f>(SUM(L10:$L$79)*$N$1)</f>
        <v>8609.2888007532274</v>
      </c>
      <c r="P9" s="11">
        <f t="shared" si="9"/>
        <v>-2796.4673883552186</v>
      </c>
      <c r="Q9" s="14">
        <v>30</v>
      </c>
      <c r="R9" s="20" t="s">
        <v>48</v>
      </c>
      <c r="S9" s="21">
        <f>SUM(N20:N70)</f>
        <v>223.83059009581595</v>
      </c>
      <c r="T9" s="22">
        <f t="shared" si="10"/>
        <v>6.7261822790863042E-3</v>
      </c>
      <c r="V9" s="65">
        <v>5</v>
      </c>
      <c r="W9" s="66">
        <f>Inputs!H12</f>
        <v>1.6799999999999999E-4</v>
      </c>
    </row>
    <row r="10" spans="1:23" x14ac:dyDescent="0.25">
      <c r="A10">
        <f t="shared" si="1"/>
        <v>96</v>
      </c>
      <c r="B10">
        <v>6</v>
      </c>
      <c r="C10" s="12">
        <f t="shared" si="2"/>
        <v>0.197322</v>
      </c>
      <c r="D10" s="61">
        <f t="shared" si="3"/>
        <v>0.802678</v>
      </c>
      <c r="E10" s="198">
        <f>IF(B10&lt;=$C$2,1,IF(B10=$C$2+1,PRODUCT($D$5:D10),E9*D10))</f>
        <v>0.3489455130854443</v>
      </c>
      <c r="F10" s="62">
        <f t="shared" si="4"/>
        <v>0.802678</v>
      </c>
      <c r="G10" s="198">
        <f>IF(B10&lt;=$C$2,1,IF(B10=$C$2+1,PRODUCT($F$5:F10),G9*F10))</f>
        <v>0.3489455130854443</v>
      </c>
      <c r="H10" s="63">
        <f t="shared" si="5"/>
        <v>0.64429197168399999</v>
      </c>
      <c r="I10" s="63">
        <f t="shared" si="5"/>
        <v>0.12176297110246398</v>
      </c>
      <c r="J10" s="60">
        <f t="shared" si="6"/>
        <v>0.57612805506842468</v>
      </c>
      <c r="K10" s="10">
        <f t="shared" si="0"/>
        <v>0.79031452573014571</v>
      </c>
      <c r="L10" s="60">
        <f t="shared" si="7"/>
        <v>0.45532237060123332</v>
      </c>
      <c r="N10" s="13">
        <f t="shared" si="8"/>
        <v>2880.6402753421235</v>
      </c>
      <c r="O10" s="11">
        <f>(SUM(L11:$L$79)*$N$1)</f>
        <v>6332.6769477470598</v>
      </c>
      <c r="P10" s="11">
        <f t="shared" si="9"/>
        <v>-2276.6118530061676</v>
      </c>
      <c r="Q10" s="53">
        <f>+SUMPRODUCT(Q6:Q9,T6:T9)</f>
        <v>4.8852824247616029</v>
      </c>
      <c r="T10" s="23">
        <f>SUM(T6:T9)</f>
        <v>0.99999999999999989</v>
      </c>
      <c r="V10" s="65">
        <v>6</v>
      </c>
      <c r="W10" s="66">
        <f>Inputs!H13</f>
        <v>1.65E-4</v>
      </c>
    </row>
    <row r="11" spans="1:23" x14ac:dyDescent="0.25">
      <c r="A11">
        <f t="shared" si="1"/>
        <v>97</v>
      </c>
      <c r="B11">
        <v>7</v>
      </c>
      <c r="C11" s="12">
        <f t="shared" si="2"/>
        <v>0.214751</v>
      </c>
      <c r="D11" s="61">
        <f t="shared" si="3"/>
        <v>0.78524899999999997</v>
      </c>
      <c r="E11" s="198">
        <f>IF(B11&lt;=$C$2,1,IF(B11=$C$2+1,PRODUCT($D$5:D11),E10*D11))</f>
        <v>0.27400911520483207</v>
      </c>
      <c r="F11" s="62">
        <f t="shared" si="4"/>
        <v>0.78524899999999997</v>
      </c>
      <c r="G11" s="198">
        <f>IF(B11&lt;=$C$2,1,IF(B11=$C$2+1,PRODUCT($F$5:F11),G10*F11))</f>
        <v>0.27400911520483207</v>
      </c>
      <c r="H11" s="63">
        <f t="shared" si="5"/>
        <v>0.61661599200099992</v>
      </c>
      <c r="I11" s="63">
        <f t="shared" si="5"/>
        <v>7.5080995215334928E-2</v>
      </c>
      <c r="J11" s="60">
        <f t="shared" si="6"/>
        <v>0.47293723519432918</v>
      </c>
      <c r="K11" s="10">
        <f t="shared" si="0"/>
        <v>0.75991781320206331</v>
      </c>
      <c r="L11" s="60">
        <f t="shared" si="7"/>
        <v>0.35939342955070452</v>
      </c>
      <c r="N11" s="13">
        <f t="shared" si="8"/>
        <v>2364.6861759716458</v>
      </c>
      <c r="O11" s="11">
        <f>(SUM(L12:$L$79)*$N$1)</f>
        <v>4535.7097999935422</v>
      </c>
      <c r="P11" s="11">
        <f t="shared" si="9"/>
        <v>-1796.9671477535176</v>
      </c>
      <c r="V11" s="65">
        <v>7</v>
      </c>
      <c r="W11" s="66">
        <f>Inputs!H14</f>
        <v>1.5899999999999999E-4</v>
      </c>
    </row>
    <row r="12" spans="1:23" x14ac:dyDescent="0.25">
      <c r="A12">
        <f t="shared" si="1"/>
        <v>98</v>
      </c>
      <c r="B12">
        <v>8</v>
      </c>
      <c r="C12" s="12">
        <f t="shared" si="2"/>
        <v>0.23250699999999999</v>
      </c>
      <c r="D12" s="61">
        <f t="shared" si="3"/>
        <v>0.76749299999999998</v>
      </c>
      <c r="E12" s="198">
        <f>IF(B12&lt;=$C$2,1,IF(B12=$C$2+1,PRODUCT($D$5:D12),E11*D12))</f>
        <v>0.21030007785590218</v>
      </c>
      <c r="F12" s="62">
        <f t="shared" si="4"/>
        <v>0.76749299999999998</v>
      </c>
      <c r="G12" s="198">
        <f>IF(B12&lt;=$C$2,1,IF(B12=$C$2+1,PRODUCT($F$5:F12),G11*F12))</f>
        <v>0.21030007785590218</v>
      </c>
      <c r="H12" s="63">
        <f t="shared" si="5"/>
        <v>0.589045505049</v>
      </c>
      <c r="I12" s="63">
        <f t="shared" si="5"/>
        <v>4.4226122746198519E-2</v>
      </c>
      <c r="J12" s="60">
        <f t="shared" si="6"/>
        <v>0.37637403296560584</v>
      </c>
      <c r="K12" s="10">
        <f t="shared" si="0"/>
        <v>0.73069020500198378</v>
      </c>
      <c r="L12" s="60">
        <f t="shared" si="7"/>
        <v>0.27501281930506194</v>
      </c>
      <c r="N12" s="13">
        <f t="shared" si="8"/>
        <v>1881.8701648280291</v>
      </c>
      <c r="O12" s="11">
        <f>(SUM(L13:$L$79)*$N$1)</f>
        <v>3160.6457034682321</v>
      </c>
      <c r="P12" s="11">
        <f t="shared" si="9"/>
        <v>-1375.0640965253101</v>
      </c>
      <c r="V12" s="65">
        <v>8</v>
      </c>
      <c r="W12" s="66">
        <f>Inputs!H15</f>
        <v>1.4300000000000001E-4</v>
      </c>
    </row>
    <row r="13" spans="1:23" x14ac:dyDescent="0.25">
      <c r="A13">
        <f t="shared" si="1"/>
        <v>99</v>
      </c>
      <c r="B13">
        <v>9</v>
      </c>
      <c r="C13" s="12">
        <f t="shared" si="2"/>
        <v>0.25039699999999998</v>
      </c>
      <c r="D13" s="61">
        <f t="shared" si="3"/>
        <v>0.74960300000000002</v>
      </c>
      <c r="E13" s="198">
        <f>IF(B13&lt;=$C$2,1,IF(B13=$C$2+1,PRODUCT($D$5:D13),E12*D13))</f>
        <v>0.15764156926101786</v>
      </c>
      <c r="F13" s="62">
        <f t="shared" si="4"/>
        <v>0.74960300000000002</v>
      </c>
      <c r="G13" s="198">
        <f>IF(B13&lt;=$C$2,1,IF(B13=$C$2+1,PRODUCT($F$5:F13),G12*F13))</f>
        <v>0.15764156926101786</v>
      </c>
      <c r="H13" s="63">
        <f t="shared" si="5"/>
        <v>0.56190465760899999</v>
      </c>
      <c r="I13" s="63">
        <f t="shared" si="5"/>
        <v>2.485086435907629E-2</v>
      </c>
      <c r="J13" s="60">
        <f t="shared" si="6"/>
        <v>0.29043227416295941</v>
      </c>
      <c r="K13" s="10">
        <f t="shared" si="0"/>
        <v>0.70258673557883045</v>
      </c>
      <c r="L13" s="60">
        <f t="shared" si="7"/>
        <v>0.20405386341088955</v>
      </c>
      <c r="N13" s="13">
        <f t="shared" si="8"/>
        <v>1452.161370814797</v>
      </c>
      <c r="O13" s="11">
        <f>(SUM(L14:$L$79)*$N$1)</f>
        <v>2140.3763864137841</v>
      </c>
      <c r="P13" s="11">
        <f t="shared" si="9"/>
        <v>-1020.269317054448</v>
      </c>
      <c r="V13" s="65">
        <v>9</v>
      </c>
      <c r="W13" s="66">
        <f>Inputs!H16</f>
        <v>1.2899999999999999E-4</v>
      </c>
    </row>
    <row r="14" spans="1:23" x14ac:dyDescent="0.25">
      <c r="A14">
        <f t="shared" si="1"/>
        <v>100</v>
      </c>
      <c r="B14">
        <v>10</v>
      </c>
      <c r="C14" s="12">
        <f t="shared" si="2"/>
        <v>0.26860699999999998</v>
      </c>
      <c r="D14" s="61">
        <f t="shared" si="3"/>
        <v>0.73139299999999996</v>
      </c>
      <c r="E14" s="198">
        <f>IF(B14&lt;=$C$2,1,IF(B14=$C$2+1,PRODUCT($D$5:D14),E13*D14))</f>
        <v>0.11529794026652362</v>
      </c>
      <c r="F14" s="62">
        <f t="shared" si="4"/>
        <v>0.73139299999999996</v>
      </c>
      <c r="G14" s="198">
        <f>IF(B14&lt;=$C$2,1,IF(B14=$C$2+1,PRODUCT($F$5:F14),G13*F14))</f>
        <v>0.11529794026652362</v>
      </c>
      <c r="H14" s="63">
        <f t="shared" si="5"/>
        <v>0.53493572044899995</v>
      </c>
      <c r="I14" s="63">
        <f t="shared" si="5"/>
        <v>1.329361502970285E-2</v>
      </c>
      <c r="J14" s="60">
        <f t="shared" si="6"/>
        <v>0.21730226550334439</v>
      </c>
      <c r="K14" s="10">
        <f t="shared" si="0"/>
        <v>0.67556416882579851</v>
      </c>
      <c r="L14" s="60">
        <f t="shared" si="7"/>
        <v>0.14680162437872984</v>
      </c>
      <c r="N14" s="13">
        <f t="shared" si="8"/>
        <v>1086.5113275167218</v>
      </c>
      <c r="O14" s="11">
        <f>(SUM(L15:$L$79)*$N$1)</f>
        <v>1406.3682645201345</v>
      </c>
      <c r="P14" s="11">
        <f t="shared" si="9"/>
        <v>-734.00812189364956</v>
      </c>
      <c r="V14" s="65">
        <v>10</v>
      </c>
      <c r="W14" s="66">
        <f>Inputs!H17</f>
        <v>1.13E-4</v>
      </c>
    </row>
    <row r="15" spans="1:23" x14ac:dyDescent="0.25">
      <c r="A15">
        <f t="shared" si="1"/>
        <v>101</v>
      </c>
      <c r="B15">
        <v>11</v>
      </c>
      <c r="C15" s="12">
        <f t="shared" si="2"/>
        <v>0.290016</v>
      </c>
      <c r="D15" s="61">
        <f t="shared" si="3"/>
        <v>0.70998399999999995</v>
      </c>
      <c r="E15" s="198">
        <f>IF(B15&lt;=$C$2,1,IF(B15=$C$2+1,PRODUCT($D$5:D15),E14*D15))</f>
        <v>8.1859692822187496E-2</v>
      </c>
      <c r="F15" s="62">
        <f t="shared" si="4"/>
        <v>0.70998399999999995</v>
      </c>
      <c r="G15" s="198">
        <f>IF(B15&lt;=$C$2,1,IF(B15=$C$2+1,PRODUCT($F$5:F15),G14*F15))</f>
        <v>8.1859692822187496E-2</v>
      </c>
      <c r="H15" s="63">
        <f t="shared" si="5"/>
        <v>0.50407728025599996</v>
      </c>
      <c r="I15" s="63">
        <f t="shared" si="5"/>
        <v>6.7010093089428955E-3</v>
      </c>
      <c r="J15" s="60">
        <f t="shared" si="6"/>
        <v>0.15701837633543209</v>
      </c>
      <c r="K15" s="10">
        <f t="shared" si="0"/>
        <v>0.6495809315632679</v>
      </c>
      <c r="L15" s="60">
        <f t="shared" si="7"/>
        <v>0.10199614317252176</v>
      </c>
      <c r="N15" s="13">
        <f t="shared" si="8"/>
        <v>785.09188167716047</v>
      </c>
      <c r="O15" s="11">
        <f>(SUM(L16:$L$79)*$N$1)</f>
        <v>896.38754865752537</v>
      </c>
      <c r="P15" s="11">
        <f t="shared" si="9"/>
        <v>-509.98071586260915</v>
      </c>
      <c r="V15" s="65">
        <v>11</v>
      </c>
      <c r="W15" s="66">
        <f>Inputs!H18</f>
        <v>1.11E-4</v>
      </c>
    </row>
    <row r="16" spans="1:23" x14ac:dyDescent="0.25">
      <c r="A16">
        <f t="shared" si="1"/>
        <v>102</v>
      </c>
      <c r="B16">
        <v>12</v>
      </c>
      <c r="C16" s="12">
        <f t="shared" si="2"/>
        <v>0.31184899999999999</v>
      </c>
      <c r="D16" s="61">
        <f t="shared" si="3"/>
        <v>0.68815099999999996</v>
      </c>
      <c r="E16" s="198">
        <f>IF(B16&lt;=$C$2,1,IF(B16=$C$2+1,PRODUCT($D$5:D16),E15*D16))</f>
        <v>5.6331829475281148E-2</v>
      </c>
      <c r="F16" s="62">
        <f t="shared" si="4"/>
        <v>0.68815099999999996</v>
      </c>
      <c r="G16" s="198">
        <f>IF(B16&lt;=$C$2,1,IF(B16=$C$2+1,PRODUCT($F$5:F16),G15*F16))</f>
        <v>5.6331829475281148E-2</v>
      </c>
      <c r="H16" s="63">
        <f t="shared" si="5"/>
        <v>0.47355179880099996</v>
      </c>
      <c r="I16" s="63">
        <f t="shared" si="5"/>
        <v>3.1732750120321541E-3</v>
      </c>
      <c r="J16" s="60">
        <f t="shared" si="6"/>
        <v>0.10949038393853014</v>
      </c>
      <c r="K16" s="10">
        <f t="shared" si="0"/>
        <v>0.62459704958006512</v>
      </c>
      <c r="L16" s="60">
        <f t="shared" si="7"/>
        <v>6.8387370765394473E-2</v>
      </c>
      <c r="N16" s="13">
        <f t="shared" si="8"/>
        <v>547.45191969265068</v>
      </c>
      <c r="O16" s="11">
        <f>(SUM(L17:$L$79)*$N$1)</f>
        <v>554.45069483055329</v>
      </c>
      <c r="P16" s="11">
        <f t="shared" si="9"/>
        <v>-341.93685382697208</v>
      </c>
      <c r="V16" s="65">
        <v>12</v>
      </c>
      <c r="W16" s="66">
        <f>Inputs!H19</f>
        <v>1.3200000000000001E-4</v>
      </c>
    </row>
    <row r="17" spans="1:23" x14ac:dyDescent="0.25">
      <c r="A17">
        <f t="shared" si="1"/>
        <v>103</v>
      </c>
      <c r="B17">
        <v>13</v>
      </c>
      <c r="C17" s="12">
        <f t="shared" si="2"/>
        <v>0.33396199999999998</v>
      </c>
      <c r="D17" s="61">
        <f t="shared" si="3"/>
        <v>0.66603800000000002</v>
      </c>
      <c r="E17" s="198">
        <f>IF(B17&lt;=$C$2,1,IF(B17=$C$2+1,PRODUCT($D$5:D17),E16*D17))</f>
        <v>3.7519139040057305E-2</v>
      </c>
      <c r="F17" s="62">
        <f t="shared" si="4"/>
        <v>0.66603800000000002</v>
      </c>
      <c r="G17" s="198">
        <f>IF(B17&lt;=$C$2,1,IF(B17=$C$2+1,PRODUCT($F$5:F17),G16*F17))</f>
        <v>3.7519139040057305E-2</v>
      </c>
      <c r="H17" s="63">
        <f t="shared" si="5"/>
        <v>0.44360661744400004</v>
      </c>
      <c r="I17" s="63">
        <f t="shared" si="5"/>
        <v>1.4076857943071523E-3</v>
      </c>
      <c r="J17" s="60">
        <f t="shared" si="6"/>
        <v>7.3630592285807456E-2</v>
      </c>
      <c r="K17" s="10">
        <f t="shared" si="0"/>
        <v>0.600574086134678</v>
      </c>
      <c r="L17" s="60">
        <f t="shared" si="7"/>
        <v>4.4220625673603887E-2</v>
      </c>
      <c r="N17" s="13">
        <f t="shared" si="8"/>
        <v>368.1529614290373</v>
      </c>
      <c r="O17" s="11">
        <f>(SUM(L18:$L$79)*$N$1)</f>
        <v>333.34756646253379</v>
      </c>
      <c r="P17" s="11">
        <f t="shared" si="9"/>
        <v>-221.1031283680195</v>
      </c>
      <c r="V17" s="65">
        <v>13</v>
      </c>
      <c r="W17" s="66">
        <f>Inputs!H20</f>
        <v>1.6899999999999999E-4</v>
      </c>
    </row>
    <row r="18" spans="1:23" x14ac:dyDescent="0.25">
      <c r="A18">
        <f t="shared" si="1"/>
        <v>104</v>
      </c>
      <c r="B18">
        <v>14</v>
      </c>
      <c r="C18" s="12">
        <f t="shared" si="2"/>
        <v>0.356207</v>
      </c>
      <c r="D18" s="61">
        <f t="shared" si="3"/>
        <v>0.64379300000000006</v>
      </c>
      <c r="E18" s="198">
        <f>IF(B18&lt;=$C$2,1,IF(B18=$C$2+1,PRODUCT($D$5:D18),E17*D18))</f>
        <v>2.4154559080015615E-2</v>
      </c>
      <c r="F18" s="62">
        <f t="shared" si="4"/>
        <v>0.64379300000000006</v>
      </c>
      <c r="G18" s="198">
        <f>IF(B18&lt;=$C$2,1,IF(B18=$C$2+1,PRODUCT($F$5:F18),G17*F18))</f>
        <v>2.4154559080015615E-2</v>
      </c>
      <c r="H18" s="63">
        <f t="shared" si="5"/>
        <v>0.41446942684900007</v>
      </c>
      <c r="I18" s="63">
        <f t="shared" si="5"/>
        <v>5.8344272434996476E-4</v>
      </c>
      <c r="J18" s="60">
        <f t="shared" si="6"/>
        <v>4.7725675435681264E-2</v>
      </c>
      <c r="K18" s="10">
        <f t="shared" si="0"/>
        <v>0.57747508282180582</v>
      </c>
      <c r="L18" s="60">
        <f t="shared" si="7"/>
        <v>2.7560388374946662E-2</v>
      </c>
      <c r="N18" s="13">
        <f t="shared" si="8"/>
        <v>238.62837717840631</v>
      </c>
      <c r="O18" s="11">
        <f>(SUM(L19:$L$79)*$N$1)</f>
        <v>195.54562458780043</v>
      </c>
      <c r="P18" s="11">
        <f t="shared" si="9"/>
        <v>-137.80194187473336</v>
      </c>
      <c r="V18" s="65">
        <v>14</v>
      </c>
      <c r="W18" s="66">
        <f>Inputs!H21</f>
        <v>2.13E-4</v>
      </c>
    </row>
    <row r="19" spans="1:23" x14ac:dyDescent="0.25">
      <c r="A19">
        <f t="shared" si="1"/>
        <v>105</v>
      </c>
      <c r="B19">
        <v>15</v>
      </c>
      <c r="C19" s="12">
        <f t="shared" si="2"/>
        <v>0.38</v>
      </c>
      <c r="D19" s="61">
        <f t="shared" si="3"/>
        <v>0.62</v>
      </c>
      <c r="E19" s="198">
        <f>IF(B19&lt;=$C$2,1,IF(B19=$C$2+1,PRODUCT($D$5:D19),E18*D19))</f>
        <v>1.4975826629609681E-2</v>
      </c>
      <c r="F19" s="62">
        <f t="shared" si="4"/>
        <v>0.62</v>
      </c>
      <c r="G19" s="198">
        <f>IF(B19&lt;=$C$2,1,IF(B19=$C$2+1,PRODUCT($F$5:F19),G18*F19))</f>
        <v>1.4975826629609681E-2</v>
      </c>
      <c r="H19" s="63">
        <f t="shared" si="5"/>
        <v>0.38440000000000002</v>
      </c>
      <c r="I19" s="63">
        <f t="shared" si="5"/>
        <v>2.2427538324012647E-4</v>
      </c>
      <c r="J19" s="60">
        <f t="shared" si="6"/>
        <v>2.9727377875979236E-2</v>
      </c>
      <c r="K19" s="10">
        <f t="shared" si="0"/>
        <v>0.55526450271327477</v>
      </c>
      <c r="L19" s="60">
        <f t="shared" si="7"/>
        <v>1.6506557693275217E-2</v>
      </c>
      <c r="N19" s="13">
        <f t="shared" si="8"/>
        <v>148.63688937989619</v>
      </c>
      <c r="O19" s="11">
        <f>(SUM(L20:$L$79)*$N$1)</f>
        <v>113.01283612142439</v>
      </c>
      <c r="P19" s="11">
        <f t="shared" si="9"/>
        <v>-82.532788466376047</v>
      </c>
      <c r="V19" s="65">
        <v>15</v>
      </c>
      <c r="W19" s="66">
        <f>Inputs!H22</f>
        <v>2.5399999999999999E-4</v>
      </c>
    </row>
    <row r="20" spans="1:23" x14ac:dyDescent="0.25">
      <c r="A20">
        <f t="shared" si="1"/>
        <v>106</v>
      </c>
      <c r="B20">
        <v>16</v>
      </c>
      <c r="C20" s="12">
        <f t="shared" si="2"/>
        <v>0.4</v>
      </c>
      <c r="D20" s="61">
        <f t="shared" si="3"/>
        <v>0.6</v>
      </c>
      <c r="E20" s="198">
        <f>IF(B20&lt;=$C$2,1,IF(B20=$C$2+1,PRODUCT($D$5:D20),E19*D20))</f>
        <v>8.9854959777658089E-3</v>
      </c>
      <c r="F20" s="62">
        <f t="shared" si="4"/>
        <v>0.6</v>
      </c>
      <c r="G20" s="198">
        <f>IF(B20&lt;=$C$2,1,IF(B20=$C$2+1,PRODUCT($F$5:F20),G19*F20))</f>
        <v>8.9854959777658089E-3</v>
      </c>
      <c r="H20" s="63">
        <f t="shared" si="5"/>
        <v>0.36</v>
      </c>
      <c r="I20" s="63">
        <f t="shared" si="5"/>
        <v>8.0739137966445533E-5</v>
      </c>
      <c r="J20" s="60">
        <f t="shared" si="6"/>
        <v>1.7890252817565171E-2</v>
      </c>
      <c r="K20" s="10">
        <f t="shared" si="0"/>
        <v>0.53390817568584104</v>
      </c>
      <c r="L20" s="60">
        <f t="shared" si="7"/>
        <v>9.5517522443846984E-3</v>
      </c>
      <c r="N20" s="13">
        <f t="shared" si="8"/>
        <v>89.451264087825848</v>
      </c>
      <c r="O20" s="11">
        <f>(SUM(L21:$L$79)*$N$1)</f>
        <v>65.254074899500878</v>
      </c>
      <c r="P20" s="11">
        <f t="shared" si="9"/>
        <v>-47.758761221923507</v>
      </c>
      <c r="V20" s="65">
        <v>16</v>
      </c>
      <c r="W20" s="66">
        <f>Inputs!H23</f>
        <v>2.9300000000000002E-4</v>
      </c>
    </row>
    <row r="21" spans="1:23" x14ac:dyDescent="0.25">
      <c r="A21">
        <f t="shared" si="1"/>
        <v>107</v>
      </c>
      <c r="B21">
        <v>17</v>
      </c>
      <c r="C21" s="12">
        <f t="shared" si="2"/>
        <v>0.4</v>
      </c>
      <c r="D21" s="61">
        <f t="shared" si="3"/>
        <v>0.6</v>
      </c>
      <c r="E21" s="198">
        <f>IF(B21&lt;=$C$2,1,IF(B21=$C$2+1,PRODUCT($D$5:D21),E20*D21))</f>
        <v>5.3912975866594855E-3</v>
      </c>
      <c r="F21" s="62">
        <f t="shared" si="4"/>
        <v>0.6</v>
      </c>
      <c r="G21" s="198">
        <f>IF(B21&lt;=$C$2,1,IF(B21=$C$2+1,PRODUCT($F$5:F21),G20*F21))</f>
        <v>5.3912975866594855E-3</v>
      </c>
      <c r="H21" s="63">
        <f t="shared" si="5"/>
        <v>0.36</v>
      </c>
      <c r="I21" s="63">
        <f t="shared" si="5"/>
        <v>2.9066089667920393E-5</v>
      </c>
      <c r="J21" s="60">
        <f t="shared" si="6"/>
        <v>1.0753529083651051E-2</v>
      </c>
      <c r="K21" s="10">
        <f t="shared" si="0"/>
        <v>0.51337324585177024</v>
      </c>
      <c r="L21" s="60">
        <f t="shared" si="7"/>
        <v>5.5205741300353526E-3</v>
      </c>
      <c r="N21" s="13">
        <f t="shared" si="8"/>
        <v>53.767645418255256</v>
      </c>
      <c r="O21" s="11">
        <f>(SUM(L22:$L$79)*$N$1)</f>
        <v>37.651204249324117</v>
      </c>
      <c r="P21" s="11">
        <f t="shared" si="9"/>
        <v>-27.602870650176762</v>
      </c>
      <c r="V21" s="65">
        <v>17</v>
      </c>
      <c r="W21" s="66">
        <f>Inputs!H24</f>
        <v>3.28E-4</v>
      </c>
    </row>
    <row r="22" spans="1:23" x14ac:dyDescent="0.25">
      <c r="A22">
        <f t="shared" si="1"/>
        <v>108</v>
      </c>
      <c r="B22">
        <v>18</v>
      </c>
      <c r="C22" s="12">
        <f t="shared" si="2"/>
        <v>0.4</v>
      </c>
      <c r="D22" s="61">
        <f t="shared" si="3"/>
        <v>0.6</v>
      </c>
      <c r="E22" s="198">
        <f>IF(B22&lt;=$C$2,1,IF(B22=$C$2+1,PRODUCT($D$5:D22),E21*D22))</f>
        <v>3.2347785519956911E-3</v>
      </c>
      <c r="F22" s="62">
        <f t="shared" si="4"/>
        <v>0.6</v>
      </c>
      <c r="G22" s="198">
        <f>IF(B22&lt;=$C$2,1,IF(B22=$C$2+1,PRODUCT($F$5:F22),G21*F22))</f>
        <v>3.2347785519956911E-3</v>
      </c>
      <c r="H22" s="63">
        <f t="shared" si="5"/>
        <v>0.36</v>
      </c>
      <c r="I22" s="63">
        <f t="shared" si="5"/>
        <v>1.0463792280451339E-5</v>
      </c>
      <c r="J22" s="60">
        <f t="shared" si="6"/>
        <v>6.4590933117109313E-3</v>
      </c>
      <c r="K22" s="10">
        <f t="shared" si="0"/>
        <v>0.49362812101131748</v>
      </c>
      <c r="L22" s="60">
        <f t="shared" si="7"/>
        <v>3.188390094896635E-3</v>
      </c>
      <c r="N22" s="13">
        <f t="shared" si="8"/>
        <v>32.295466558554658</v>
      </c>
      <c r="O22" s="11">
        <f>(SUM(L23:$L$79)*$N$1)</f>
        <v>21.709253774840942</v>
      </c>
      <c r="P22" s="11">
        <f t="shared" si="9"/>
        <v>-15.941950474483175</v>
      </c>
      <c r="V22" s="65">
        <v>18</v>
      </c>
      <c r="W22" s="66">
        <f>Inputs!H25</f>
        <v>3.59E-4</v>
      </c>
    </row>
    <row r="23" spans="1:23" x14ac:dyDescent="0.25">
      <c r="A23">
        <f t="shared" si="1"/>
        <v>109</v>
      </c>
      <c r="B23">
        <v>19</v>
      </c>
      <c r="C23" s="12">
        <f t="shared" si="2"/>
        <v>0.4</v>
      </c>
      <c r="D23" s="61">
        <f t="shared" si="3"/>
        <v>0.6</v>
      </c>
      <c r="E23" s="198">
        <f>IF(B23&lt;=$C$2,1,IF(B23=$C$2+1,PRODUCT($D$5:D23),E22*D23))</f>
        <v>1.9408671311974147E-3</v>
      </c>
      <c r="F23" s="62">
        <f t="shared" si="4"/>
        <v>0.6</v>
      </c>
      <c r="G23" s="198">
        <f>IF(B23&lt;=$C$2,1,IF(B23=$C$2+1,PRODUCT($F$5:F23),G22*F23))</f>
        <v>1.9408671311974147E-3</v>
      </c>
      <c r="H23" s="63">
        <f t="shared" si="5"/>
        <v>0.36</v>
      </c>
      <c r="I23" s="63">
        <f t="shared" si="5"/>
        <v>3.7669652209624824E-6</v>
      </c>
      <c r="J23" s="60">
        <f t="shared" si="6"/>
        <v>3.8779672971738671E-3</v>
      </c>
      <c r="K23" s="10">
        <f t="shared" si="0"/>
        <v>0.47464242404934376</v>
      </c>
      <c r="L23" s="60">
        <f t="shared" si="7"/>
        <v>1.840647798314686E-3</v>
      </c>
      <c r="N23" s="13">
        <f t="shared" si="8"/>
        <v>19.389836485869335</v>
      </c>
      <c r="O23" s="11">
        <f>(SUM(L24:$L$79)*$N$1)</f>
        <v>12.506014783267517</v>
      </c>
      <c r="P23" s="11">
        <f t="shared" si="9"/>
        <v>-9.203238991573425</v>
      </c>
      <c r="V23" s="65">
        <v>19</v>
      </c>
      <c r="W23" s="66">
        <f>Inputs!H26</f>
        <v>3.8699999999999997E-4</v>
      </c>
    </row>
    <row r="24" spans="1:23" x14ac:dyDescent="0.25">
      <c r="A24">
        <f t="shared" si="1"/>
        <v>110</v>
      </c>
      <c r="B24">
        <v>20</v>
      </c>
      <c r="C24" s="12">
        <f t="shared" si="2"/>
        <v>0.4</v>
      </c>
      <c r="D24" s="61">
        <f t="shared" si="3"/>
        <v>0.6</v>
      </c>
      <c r="E24" s="198">
        <f>IF(B24&lt;=$C$2,1,IF(B24=$C$2+1,PRODUCT($D$5:D24),E23*D24))</f>
        <v>1.1645202787184488E-3</v>
      </c>
      <c r="F24" s="62">
        <f t="shared" si="4"/>
        <v>0.6</v>
      </c>
      <c r="G24" s="198">
        <f>IF(B24&lt;=$C$2,1,IF(B24=$C$2+1,PRODUCT($F$5:F24),G23*F24))</f>
        <v>1.1645202787184488E-3</v>
      </c>
      <c r="H24" s="63">
        <f t="shared" si="5"/>
        <v>0.36</v>
      </c>
      <c r="I24" s="63">
        <f t="shared" si="5"/>
        <v>1.3561074795464935E-6</v>
      </c>
      <c r="J24" s="60">
        <f t="shared" si="6"/>
        <v>2.3276844499573509E-3</v>
      </c>
      <c r="K24" s="10">
        <f t="shared" si="0"/>
        <v>0.45638694620129205</v>
      </c>
      <c r="L24" s="60">
        <f t="shared" si="7"/>
        <v>1.0623247978362696E-3</v>
      </c>
      <c r="N24" s="13">
        <f t="shared" si="8"/>
        <v>11.638422249786755</v>
      </c>
      <c r="O24" s="11">
        <f>(SUM(L25:$L$79)*$N$1)</f>
        <v>7.1943907940861695</v>
      </c>
      <c r="P24" s="11">
        <f t="shared" si="9"/>
        <v>-5.3116239891813475</v>
      </c>
      <c r="V24" s="65">
        <v>20</v>
      </c>
      <c r="W24" s="66">
        <f>Inputs!H27</f>
        <v>4.1399999999999998E-4</v>
      </c>
    </row>
    <row r="25" spans="1:23" x14ac:dyDescent="0.25">
      <c r="A25">
        <f t="shared" si="1"/>
        <v>111</v>
      </c>
      <c r="B25">
        <v>21</v>
      </c>
      <c r="C25" s="12">
        <f t="shared" si="2"/>
        <v>0.4</v>
      </c>
      <c r="D25" s="61">
        <f t="shared" si="3"/>
        <v>0.6</v>
      </c>
      <c r="E25" s="198">
        <f>IF(B25&lt;=$C$2,1,IF(B25=$C$2+1,PRODUCT($D$5:D25),E24*D25))</f>
        <v>6.9871216723106926E-4</v>
      </c>
      <c r="F25" s="62">
        <f t="shared" si="4"/>
        <v>0.6</v>
      </c>
      <c r="G25" s="198">
        <f>IF(B25&lt;=$C$2,1,IF(B25=$C$2+1,PRODUCT($F$5:F25),G24*F25))</f>
        <v>6.9871216723106926E-4</v>
      </c>
      <c r="H25" s="63">
        <f t="shared" si="5"/>
        <v>0.36</v>
      </c>
      <c r="I25" s="63">
        <f t="shared" si="5"/>
        <v>4.8819869263673771E-7</v>
      </c>
      <c r="J25" s="60">
        <f t="shared" si="6"/>
        <v>1.3969361357695019E-3</v>
      </c>
      <c r="K25" s="10">
        <f t="shared" si="0"/>
        <v>0.43883360211662686</v>
      </c>
      <c r="L25" s="60">
        <f t="shared" si="7"/>
        <v>6.1302251638661182E-4</v>
      </c>
      <c r="N25" s="13">
        <f t="shared" si="8"/>
        <v>6.9846806788475089</v>
      </c>
      <c r="O25" s="11">
        <f>(SUM(L26:$L$79)*$N$1)</f>
        <v>4.1292782121531095</v>
      </c>
      <c r="P25" s="11">
        <f t="shared" si="9"/>
        <v>-3.06511258193306</v>
      </c>
      <c r="V25" s="65">
        <v>21</v>
      </c>
      <c r="W25" s="66">
        <f>Inputs!H28</f>
        <v>4.4299999999999998E-4</v>
      </c>
    </row>
    <row r="26" spans="1:23" x14ac:dyDescent="0.25">
      <c r="A26">
        <f t="shared" si="1"/>
        <v>112</v>
      </c>
      <c r="B26">
        <v>22</v>
      </c>
      <c r="C26" s="12">
        <f t="shared" si="2"/>
        <v>0.4</v>
      </c>
      <c r="D26" s="61">
        <f t="shared" si="3"/>
        <v>0.6</v>
      </c>
      <c r="E26" s="198">
        <f>IF(B26&lt;=$C$2,1,IF(B26=$C$2+1,PRODUCT($D$5:D26),E25*D26))</f>
        <v>4.1922730033864153E-4</v>
      </c>
      <c r="F26" s="62">
        <f t="shared" si="4"/>
        <v>0.6</v>
      </c>
      <c r="G26" s="198">
        <f>IF(B26&lt;=$C$2,1,IF(B26=$C$2+1,PRODUCT($F$5:F26),G25*F26))</f>
        <v>4.1922730033864153E-4</v>
      </c>
      <c r="H26" s="63">
        <f t="shared" si="5"/>
        <v>0.36</v>
      </c>
      <c r="I26" s="63">
        <f t="shared" si="5"/>
        <v>1.7575152934922555E-7</v>
      </c>
      <c r="J26" s="60">
        <f t="shared" si="6"/>
        <v>8.3827884914793385E-4</v>
      </c>
      <c r="K26" s="10">
        <f t="shared" si="0"/>
        <v>0.42195538665060278</v>
      </c>
      <c r="L26" s="60">
        <f t="shared" si="7"/>
        <v>3.5371627591323878E-4</v>
      </c>
      <c r="N26" s="13">
        <f t="shared" si="8"/>
        <v>4.1913942457396693</v>
      </c>
      <c r="O26" s="11">
        <f>(SUM(L27:$L$79)*$N$1)</f>
        <v>2.3606968325869153</v>
      </c>
      <c r="P26" s="11">
        <f t="shared" si="9"/>
        <v>-1.7685813795661942</v>
      </c>
      <c r="V26" s="65">
        <v>22</v>
      </c>
      <c r="W26" s="66">
        <f>Inputs!H29</f>
        <v>4.73E-4</v>
      </c>
    </row>
    <row r="27" spans="1:23" x14ac:dyDescent="0.25">
      <c r="A27">
        <f t="shared" si="1"/>
        <v>113</v>
      </c>
      <c r="B27">
        <v>23</v>
      </c>
      <c r="C27" s="12">
        <f t="shared" si="2"/>
        <v>0.4</v>
      </c>
      <c r="D27" s="61">
        <f t="shared" si="3"/>
        <v>0.6</v>
      </c>
      <c r="E27" s="198">
        <f>IF(B27&lt;=$C$2,1,IF(B27=$C$2+1,PRODUCT($D$5:D27),E26*D27))</f>
        <v>2.5153638020318492E-4</v>
      </c>
      <c r="F27" s="62">
        <f t="shared" si="4"/>
        <v>0.6</v>
      </c>
      <c r="G27" s="198">
        <f>IF(B27&lt;=$C$2,1,IF(B27=$C$2+1,PRODUCT($F$5:F27),G26*F27))</f>
        <v>2.5153638020318492E-4</v>
      </c>
      <c r="H27" s="63">
        <f t="shared" si="5"/>
        <v>0.36</v>
      </c>
      <c r="I27" s="63">
        <f t="shared" si="5"/>
        <v>6.3270550565721202E-8</v>
      </c>
      <c r="J27" s="60">
        <f t="shared" si="6"/>
        <v>5.0300948985580415E-4</v>
      </c>
      <c r="K27" s="10">
        <f t="shared" si="0"/>
        <v>0.40572633331788732</v>
      </c>
      <c r="L27" s="60">
        <f t="shared" si="7"/>
        <v>2.0408419594329647E-4</v>
      </c>
      <c r="N27" s="13">
        <f t="shared" si="8"/>
        <v>2.5150474492790207</v>
      </c>
      <c r="O27" s="11">
        <f>(SUM(L28:$L$79)*$N$1)</f>
        <v>1.340275852870433</v>
      </c>
      <c r="P27" s="11">
        <f t="shared" si="9"/>
        <v>-1.0204209797164823</v>
      </c>
      <c r="V27" s="65">
        <v>23</v>
      </c>
      <c r="W27" s="66">
        <f>Inputs!H30</f>
        <v>5.13E-4</v>
      </c>
    </row>
    <row r="28" spans="1:23" x14ac:dyDescent="0.25">
      <c r="A28">
        <f t="shared" si="1"/>
        <v>114</v>
      </c>
      <c r="B28">
        <v>24</v>
      </c>
      <c r="C28" s="12">
        <f t="shared" si="2"/>
        <v>0.4</v>
      </c>
      <c r="D28" s="61">
        <f t="shared" si="3"/>
        <v>0.6</v>
      </c>
      <c r="E28" s="198">
        <f>IF(B28&lt;=$C$2,1,IF(B28=$C$2+1,PRODUCT($D$5:D28),E27*D28))</f>
        <v>1.5092182812191096E-4</v>
      </c>
      <c r="F28" s="62">
        <f t="shared" si="4"/>
        <v>0.6</v>
      </c>
      <c r="G28" s="198">
        <f>IF(B28&lt;=$C$2,1,IF(B28=$C$2+1,PRODUCT($F$5:F28),G27*F28))</f>
        <v>1.5092182812191096E-4</v>
      </c>
      <c r="H28" s="63">
        <f t="shared" si="5"/>
        <v>0.36</v>
      </c>
      <c r="I28" s="63">
        <f t="shared" si="5"/>
        <v>2.2777398203659633E-8</v>
      </c>
      <c r="J28" s="60">
        <f t="shared" si="6"/>
        <v>3.0182087884561825E-4</v>
      </c>
      <c r="K28" s="10">
        <f t="shared" si="0"/>
        <v>0.39012147434412242</v>
      </c>
      <c r="L28" s="60">
        <f t="shared" si="7"/>
        <v>1.1774680624309134E-4</v>
      </c>
      <c r="N28" s="13">
        <f t="shared" si="8"/>
        <v>1.5091043942280913</v>
      </c>
      <c r="O28" s="11">
        <f>(SUM(L29:$L$79)*$N$1)</f>
        <v>0.75154182165497629</v>
      </c>
      <c r="P28" s="11">
        <f t="shared" si="9"/>
        <v>-0.58873403121545675</v>
      </c>
      <c r="V28" s="65">
        <v>24</v>
      </c>
      <c r="W28" s="66">
        <f>Inputs!H31</f>
        <v>5.5400000000000002E-4</v>
      </c>
    </row>
    <row r="29" spans="1:23" x14ac:dyDescent="0.25">
      <c r="A29">
        <f t="shared" si="1"/>
        <v>115</v>
      </c>
      <c r="B29">
        <v>25</v>
      </c>
      <c r="C29" s="12">
        <f t="shared" si="2"/>
        <v>0.4</v>
      </c>
      <c r="D29" s="61">
        <f t="shared" si="3"/>
        <v>0.6</v>
      </c>
      <c r="E29" s="198">
        <f>IF(B29&lt;=$C$2,1,IF(B29=$C$2+1,PRODUCT($D$5:D29),E28*D29))</f>
        <v>9.0553096873146574E-5</v>
      </c>
      <c r="F29" s="62">
        <f t="shared" si="4"/>
        <v>0.6</v>
      </c>
      <c r="G29" s="198">
        <f>IF(B29&lt;=$C$2,1,IF(B29=$C$2+1,PRODUCT($F$5:F29),G28*F29))</f>
        <v>9.0553096873146574E-5</v>
      </c>
      <c r="H29" s="63">
        <f t="shared" si="5"/>
        <v>0.36</v>
      </c>
      <c r="I29" s="63">
        <f t="shared" si="5"/>
        <v>8.1998633533174683E-9</v>
      </c>
      <c r="J29" s="60">
        <f t="shared" si="6"/>
        <v>1.8109799388293983E-4</v>
      </c>
      <c r="K29" s="10">
        <f t="shared" si="0"/>
        <v>0.37511680225396377</v>
      </c>
      <c r="L29" s="60">
        <f t="shared" si="7"/>
        <v>6.7932900359976285E-5</v>
      </c>
      <c r="N29" s="13">
        <f t="shared" si="8"/>
        <v>0.90548996941469917</v>
      </c>
      <c r="O29" s="11">
        <f>(SUM(L30:$L$79)*$N$1)</f>
        <v>0.41187731985509479</v>
      </c>
      <c r="P29" s="11">
        <f t="shared" si="9"/>
        <v>-0.3396645017998815</v>
      </c>
      <c r="V29" s="65">
        <v>25</v>
      </c>
      <c r="W29" s="66">
        <f>Inputs!H32</f>
        <v>6.02E-4</v>
      </c>
    </row>
    <row r="30" spans="1:23" x14ac:dyDescent="0.25">
      <c r="A30">
        <f t="shared" si="1"/>
        <v>116</v>
      </c>
      <c r="B30">
        <v>26</v>
      </c>
      <c r="C30" s="12">
        <f t="shared" si="2"/>
        <v>0.4</v>
      </c>
      <c r="D30" s="61">
        <f t="shared" si="3"/>
        <v>0.6</v>
      </c>
      <c r="E30" s="198">
        <f>IF(B30&lt;=$C$2,1,IF(B30=$C$2+1,PRODUCT($D$5:D30),E29*D30))</f>
        <v>5.4331858123887946E-5</v>
      </c>
      <c r="F30" s="62">
        <f t="shared" si="4"/>
        <v>0.6</v>
      </c>
      <c r="G30" s="198">
        <f>IF(B30&lt;=$C$2,1,IF(B30=$C$2+1,PRODUCT($F$5:F30),G29*F30))</f>
        <v>5.4331858123887946E-5</v>
      </c>
      <c r="H30" s="63">
        <f t="shared" si="5"/>
        <v>0.36</v>
      </c>
      <c r="I30" s="63">
        <f t="shared" si="5"/>
        <v>2.9519508071942886E-9</v>
      </c>
      <c r="J30" s="60">
        <f t="shared" si="6"/>
        <v>1.086607642969687E-4</v>
      </c>
      <c r="K30" s="10">
        <f t="shared" si="0"/>
        <v>0.36068923293650368</v>
      </c>
      <c r="L30" s="60">
        <f t="shared" si="7"/>
        <v>3.9192767724567865E-5</v>
      </c>
      <c r="N30" s="13">
        <f t="shared" si="8"/>
        <v>0.54330382148484346</v>
      </c>
      <c r="O30" s="11">
        <f>(SUM(L31:$L$79)*$N$1)</f>
        <v>0.21591348123225559</v>
      </c>
      <c r="P30" s="11">
        <f t="shared" si="9"/>
        <v>-0.1959638386228392</v>
      </c>
      <c r="V30" s="65">
        <v>26</v>
      </c>
      <c r="W30" s="66">
        <f>Inputs!H33</f>
        <v>6.5499999999999998E-4</v>
      </c>
    </row>
    <row r="31" spans="1:23" x14ac:dyDescent="0.25">
      <c r="A31">
        <f t="shared" si="1"/>
        <v>117</v>
      </c>
      <c r="B31">
        <v>27</v>
      </c>
      <c r="C31" s="12">
        <f t="shared" si="2"/>
        <v>0.4</v>
      </c>
      <c r="D31" s="61">
        <f t="shared" si="3"/>
        <v>0.6</v>
      </c>
      <c r="E31" s="198">
        <f>IF(B31&lt;=$C$2,1,IF(B31=$C$2+1,PRODUCT($D$5:D31),E30*D31))</f>
        <v>3.2599114874332768E-5</v>
      </c>
      <c r="F31" s="62">
        <f t="shared" si="4"/>
        <v>0.6</v>
      </c>
      <c r="G31" s="198">
        <f>IF(B31&lt;=$C$2,1,IF(B31=$C$2+1,PRODUCT($F$5:F31),G30*F31))</f>
        <v>3.2599114874332768E-5</v>
      </c>
      <c r="H31" s="63">
        <f t="shared" si="5"/>
        <v>0.36</v>
      </c>
      <c r="I31" s="63">
        <f t="shared" si="5"/>
        <v>1.0627022905899439E-9</v>
      </c>
      <c r="J31" s="60">
        <f t="shared" si="6"/>
        <v>6.5197167046374948E-5</v>
      </c>
      <c r="K31" s="10">
        <f t="shared" si="0"/>
        <v>0.3468165701312535</v>
      </c>
      <c r="L31" s="60">
        <f t="shared" si="7"/>
        <v>2.2611457857298147E-5</v>
      </c>
      <c r="N31" s="13">
        <f t="shared" si="8"/>
        <v>0.32598583523187474</v>
      </c>
      <c r="O31" s="11">
        <f>(SUM(L32:$L$79)*$N$1)</f>
        <v>0.10285619194576484</v>
      </c>
      <c r="P31" s="11">
        <f t="shared" si="9"/>
        <v>-0.11305728928649075</v>
      </c>
      <c r="V31" s="65">
        <v>27</v>
      </c>
      <c r="W31" s="66">
        <f>Inputs!H34</f>
        <v>6.8800000000000003E-4</v>
      </c>
    </row>
    <row r="32" spans="1:23" x14ac:dyDescent="0.25">
      <c r="A32">
        <f t="shared" si="1"/>
        <v>118</v>
      </c>
      <c r="B32">
        <v>28</v>
      </c>
      <c r="C32" s="12">
        <f t="shared" si="2"/>
        <v>0.4</v>
      </c>
      <c r="D32" s="61">
        <f t="shared" si="3"/>
        <v>0.6</v>
      </c>
      <c r="E32" s="198">
        <f>IF(B32&lt;=$C$2,1,IF(B32=$C$2+1,PRODUCT($D$5:D32),E31*D32))</f>
        <v>1.9559468924599661E-5</v>
      </c>
      <c r="F32" s="62">
        <f t="shared" si="4"/>
        <v>0.6</v>
      </c>
      <c r="G32" s="198">
        <f>IF(B32&lt;=$C$2,1,IF(B32=$C$2+1,PRODUCT($F$5:F32),G31*F32))</f>
        <v>1.9559468924599661E-5</v>
      </c>
      <c r="H32" s="63">
        <f t="shared" si="5"/>
        <v>0.36</v>
      </c>
      <c r="I32" s="63">
        <f t="shared" si="5"/>
        <v>3.8257282461237983E-10</v>
      </c>
      <c r="J32" s="60">
        <f t="shared" si="6"/>
        <v>3.9118555276374713E-5</v>
      </c>
      <c r="K32" s="10">
        <f t="shared" si="0"/>
        <v>0.3334774712800514</v>
      </c>
      <c r="L32" s="60">
        <f t="shared" si="7"/>
        <v>1.3045156893694352E-5</v>
      </c>
      <c r="N32" s="13">
        <f t="shared" si="8"/>
        <v>0.19559277638187356</v>
      </c>
      <c r="O32" s="11">
        <f>(SUM(L33:$L$79)*$N$1)</f>
        <v>3.7630407477293085E-2</v>
      </c>
      <c r="P32" s="11">
        <f t="shared" si="9"/>
        <v>-6.5225784468471756E-2</v>
      </c>
      <c r="V32" s="65">
        <v>28</v>
      </c>
      <c r="W32" s="66">
        <f>Inputs!H35</f>
        <v>7.1000000000000002E-4</v>
      </c>
    </row>
    <row r="33" spans="1:23" x14ac:dyDescent="0.25">
      <c r="A33">
        <f t="shared" si="1"/>
        <v>119</v>
      </c>
      <c r="B33">
        <v>29</v>
      </c>
      <c r="C33" s="12">
        <f t="shared" si="2"/>
        <v>0.4</v>
      </c>
      <c r="D33" s="61">
        <f t="shared" si="3"/>
        <v>0.6</v>
      </c>
      <c r="E33" s="198">
        <f>IF(B33&lt;=$C$2,1,IF(B33=$C$2+1,PRODUCT($D$5:D33),E32*D33))</f>
        <v>1.1735681354759797E-5</v>
      </c>
      <c r="F33" s="62">
        <f t="shared" si="4"/>
        <v>0.6</v>
      </c>
      <c r="G33" s="198">
        <f>IF(B33&lt;=$C$2,1,IF(B33=$C$2+1,PRODUCT($F$5:F33),G32*F33))</f>
        <v>1.1735681354759797E-5</v>
      </c>
      <c r="H33" s="63">
        <f t="shared" si="5"/>
        <v>0.36</v>
      </c>
      <c r="I33" s="63">
        <f t="shared" si="5"/>
        <v>1.3772621686045676E-10</v>
      </c>
      <c r="J33" s="60">
        <f t="shared" si="6"/>
        <v>2.3471224983302732E-5</v>
      </c>
      <c r="K33" s="10">
        <f t="shared" si="0"/>
        <v>0.32065141469235708</v>
      </c>
      <c r="L33" s="60">
        <f t="shared" si="7"/>
        <v>7.5260814954586168E-6</v>
      </c>
      <c r="N33" s="13">
        <f t="shared" si="8"/>
        <v>0.11735612491651366</v>
      </c>
      <c r="O33" s="11">
        <f>(SUM(L34:$L$79)*$N$1)</f>
        <v>0</v>
      </c>
      <c r="P33" s="11">
        <f t="shared" si="9"/>
        <v>-3.7630407477293085E-2</v>
      </c>
      <c r="V33" s="65">
        <v>29</v>
      </c>
      <c r="W33" s="66">
        <f>Inputs!H36</f>
        <v>7.27E-4</v>
      </c>
    </row>
    <row r="34" spans="1:23" x14ac:dyDescent="0.25">
      <c r="A34">
        <f t="shared" si="1"/>
        <v>120</v>
      </c>
      <c r="B34">
        <v>30</v>
      </c>
      <c r="C34" s="12">
        <f t="shared" si="2"/>
        <v>1</v>
      </c>
      <c r="D34" s="61">
        <f t="shared" si="3"/>
        <v>0</v>
      </c>
      <c r="E34" s="198">
        <f>IF(B34&lt;=$C$2,1,IF(B34=$C$2+1,PRODUCT($D$5:D34),E33*D34))</f>
        <v>0</v>
      </c>
      <c r="F34" s="62">
        <f t="shared" si="4"/>
        <v>0</v>
      </c>
      <c r="G34" s="198">
        <f>IF(B34&lt;=$C$2,1,IF(B34=$C$2+1,PRODUCT($F$5:F34),G33*F34))</f>
        <v>0</v>
      </c>
      <c r="H34" s="63">
        <f t="shared" si="5"/>
        <v>0</v>
      </c>
      <c r="I34" s="63">
        <f t="shared" si="5"/>
        <v>0</v>
      </c>
      <c r="J34" s="60">
        <f t="shared" si="6"/>
        <v>0</v>
      </c>
      <c r="K34" s="10">
        <f t="shared" si="0"/>
        <v>0</v>
      </c>
      <c r="L34" s="60">
        <f t="shared" si="7"/>
        <v>0</v>
      </c>
      <c r="N34" s="13">
        <f t="shared" si="8"/>
        <v>0</v>
      </c>
      <c r="O34" s="11">
        <f>(SUM(L35:$L$79)*$N$1)</f>
        <v>0</v>
      </c>
      <c r="P34" s="11">
        <f t="shared" si="9"/>
        <v>0</v>
      </c>
      <c r="V34" s="65">
        <v>30</v>
      </c>
      <c r="W34" s="66">
        <f>Inputs!H37</f>
        <v>7.4100000000000001E-4</v>
      </c>
    </row>
    <row r="35" spans="1:23" x14ac:dyDescent="0.25">
      <c r="C35" s="12"/>
      <c r="D35" s="10"/>
      <c r="E35" s="198"/>
      <c r="F35" s="10"/>
      <c r="G35" s="198"/>
      <c r="H35" s="10"/>
      <c r="I35" s="10"/>
      <c r="J35" s="10"/>
      <c r="K35" s="10"/>
      <c r="L35" s="10"/>
      <c r="N35" s="13"/>
      <c r="O35" s="11"/>
      <c r="P35" s="11"/>
      <c r="V35" s="65">
        <v>31</v>
      </c>
      <c r="W35" s="66">
        <f>Inputs!H38</f>
        <v>7.5100000000000004E-4</v>
      </c>
    </row>
    <row r="36" spans="1:23" x14ac:dyDescent="0.25">
      <c r="C36" s="12"/>
      <c r="D36" s="10"/>
      <c r="E36" s="198"/>
      <c r="F36" s="10"/>
      <c r="G36" s="198"/>
      <c r="H36" s="10"/>
      <c r="I36" s="10"/>
      <c r="J36" s="10"/>
      <c r="K36" s="10"/>
      <c r="L36" s="10"/>
      <c r="N36" s="13"/>
      <c r="O36" s="11"/>
      <c r="P36" s="11"/>
      <c r="V36" s="65">
        <v>32</v>
      </c>
      <c r="W36" s="66">
        <f>Inputs!H39</f>
        <v>7.54E-4</v>
      </c>
    </row>
    <row r="37" spans="1:23" x14ac:dyDescent="0.25">
      <c r="C37" s="12"/>
      <c r="D37" s="10"/>
      <c r="E37" s="198"/>
      <c r="F37" s="10"/>
      <c r="G37" s="198"/>
      <c r="H37" s="10"/>
      <c r="I37" s="10"/>
      <c r="J37" s="10"/>
      <c r="K37" s="10"/>
      <c r="L37" s="10"/>
      <c r="N37" s="13"/>
      <c r="O37" s="11"/>
      <c r="P37" s="11"/>
      <c r="V37" s="65">
        <v>33</v>
      </c>
      <c r="W37" s="66">
        <f>Inputs!H40</f>
        <v>7.5600000000000005E-4</v>
      </c>
    </row>
    <row r="38" spans="1:23" x14ac:dyDescent="0.25">
      <c r="C38" s="12"/>
      <c r="D38" s="10"/>
      <c r="E38" s="198"/>
      <c r="F38" s="10"/>
      <c r="G38" s="198"/>
      <c r="H38" s="10"/>
      <c r="I38" s="10"/>
      <c r="J38" s="10"/>
      <c r="K38" s="10"/>
      <c r="L38" s="10"/>
      <c r="N38" s="13"/>
      <c r="O38" s="11"/>
      <c r="P38" s="11"/>
      <c r="V38" s="65">
        <v>34</v>
      </c>
      <c r="W38" s="66">
        <f>Inputs!H41</f>
        <v>7.5600000000000005E-4</v>
      </c>
    </row>
    <row r="39" spans="1:23" x14ac:dyDescent="0.25">
      <c r="C39" s="12"/>
      <c r="D39" s="10"/>
      <c r="E39" s="198"/>
      <c r="F39" s="10"/>
      <c r="G39" s="198"/>
      <c r="H39" s="10"/>
      <c r="I39" s="10"/>
      <c r="J39" s="10"/>
      <c r="K39" s="10"/>
      <c r="L39" s="10"/>
      <c r="N39" s="13"/>
      <c r="O39" s="11"/>
      <c r="P39" s="11"/>
      <c r="V39" s="65">
        <v>35</v>
      </c>
      <c r="W39" s="66">
        <f>Inputs!H42</f>
        <v>7.5600000000000005E-4</v>
      </c>
    </row>
    <row r="40" spans="1:23" x14ac:dyDescent="0.25">
      <c r="C40" s="12"/>
      <c r="D40" s="10"/>
      <c r="E40" s="198"/>
      <c r="F40" s="10"/>
      <c r="G40" s="198"/>
      <c r="H40" s="10"/>
      <c r="I40" s="10"/>
      <c r="J40" s="10"/>
      <c r="K40" s="10"/>
      <c r="L40" s="10"/>
      <c r="N40" s="13"/>
      <c r="O40" s="11"/>
      <c r="P40" s="11"/>
      <c r="V40" s="65">
        <v>36</v>
      </c>
      <c r="W40" s="66">
        <f>Inputs!H43</f>
        <v>7.5600000000000005E-4</v>
      </c>
    </row>
    <row r="41" spans="1:23" x14ac:dyDescent="0.25">
      <c r="C41" s="12"/>
      <c r="D41" s="10"/>
      <c r="E41" s="198"/>
      <c r="F41" s="10"/>
      <c r="G41" s="198"/>
      <c r="H41" s="10"/>
      <c r="I41" s="10"/>
      <c r="J41" s="10"/>
      <c r="K41" s="10"/>
      <c r="L41" s="10"/>
      <c r="N41" s="13"/>
      <c r="O41" s="11"/>
      <c r="P41" s="11"/>
      <c r="V41" s="65">
        <v>37</v>
      </c>
      <c r="W41" s="66">
        <f>Inputs!H44</f>
        <v>7.5600000000000005E-4</v>
      </c>
    </row>
    <row r="42" spans="1:23" x14ac:dyDescent="0.25">
      <c r="C42" s="12"/>
      <c r="D42" s="10"/>
      <c r="E42" s="198"/>
      <c r="F42" s="10"/>
      <c r="G42" s="198"/>
      <c r="H42" s="10"/>
      <c r="I42" s="10"/>
      <c r="J42" s="10"/>
      <c r="K42" s="10"/>
      <c r="L42" s="10"/>
      <c r="N42" s="13"/>
      <c r="O42" s="11"/>
      <c r="P42" s="11"/>
      <c r="V42" s="65">
        <v>38</v>
      </c>
      <c r="W42" s="66">
        <f>Inputs!H45</f>
        <v>7.5600000000000005E-4</v>
      </c>
    </row>
    <row r="43" spans="1:23" x14ac:dyDescent="0.25">
      <c r="C43" s="12"/>
      <c r="D43" s="10"/>
      <c r="E43" s="198"/>
      <c r="F43" s="10"/>
      <c r="G43" s="198"/>
      <c r="H43" s="10"/>
      <c r="I43" s="10"/>
      <c r="J43" s="10"/>
      <c r="K43" s="10"/>
      <c r="L43" s="10"/>
      <c r="N43" s="13"/>
      <c r="O43" s="11"/>
      <c r="P43" s="11"/>
      <c r="V43" s="65">
        <v>39</v>
      </c>
      <c r="W43" s="66">
        <f>Inputs!H46</f>
        <v>8.0000000000000004E-4</v>
      </c>
    </row>
    <row r="44" spans="1:23" x14ac:dyDescent="0.25">
      <c r="C44" s="12"/>
      <c r="D44" s="10"/>
      <c r="E44" s="198"/>
      <c r="F44" s="10"/>
      <c r="G44" s="198"/>
      <c r="H44" s="10"/>
      <c r="I44" s="10"/>
      <c r="J44" s="10"/>
      <c r="K44" s="10"/>
      <c r="L44" s="10"/>
      <c r="N44" s="13"/>
      <c r="O44" s="11"/>
      <c r="P44" s="11"/>
      <c r="V44" s="65">
        <v>40</v>
      </c>
      <c r="W44" s="66">
        <f>Inputs!H47</f>
        <v>8.5899999999999995E-4</v>
      </c>
    </row>
    <row r="45" spans="1:23" x14ac:dyDescent="0.25">
      <c r="C45" s="12"/>
      <c r="D45" s="10"/>
      <c r="E45" s="198"/>
      <c r="F45" s="10"/>
      <c r="G45" s="198"/>
      <c r="H45" s="10"/>
      <c r="I45" s="10"/>
      <c r="J45" s="10"/>
      <c r="K45" s="10"/>
      <c r="L45" s="10"/>
      <c r="N45" s="13"/>
      <c r="O45" s="11"/>
      <c r="P45" s="11"/>
      <c r="V45" s="65">
        <v>41</v>
      </c>
      <c r="W45" s="66">
        <f>Inputs!H48</f>
        <v>9.2599999999999996E-4</v>
      </c>
    </row>
    <row r="46" spans="1:23" x14ac:dyDescent="0.25">
      <c r="C46" s="12"/>
      <c r="D46" s="10"/>
      <c r="E46" s="198"/>
      <c r="F46" s="10"/>
      <c r="G46" s="198"/>
      <c r="H46" s="10"/>
      <c r="I46" s="10"/>
      <c r="J46" s="10"/>
      <c r="K46" s="10"/>
      <c r="L46" s="10"/>
      <c r="N46" s="13"/>
      <c r="O46" s="11"/>
      <c r="P46" s="11"/>
      <c r="V46" s="65">
        <v>42</v>
      </c>
      <c r="W46" s="66">
        <f>Inputs!H49</f>
        <v>9.990000000000001E-4</v>
      </c>
    </row>
    <row r="47" spans="1:23" x14ac:dyDescent="0.25">
      <c r="C47" s="12"/>
      <c r="D47" s="10"/>
      <c r="E47" s="198"/>
      <c r="F47" s="10"/>
      <c r="G47" s="198"/>
      <c r="H47" s="10"/>
      <c r="I47" s="10"/>
      <c r="J47" s="10"/>
      <c r="K47" s="10"/>
      <c r="L47" s="10"/>
      <c r="N47" s="13"/>
      <c r="O47" s="11"/>
      <c r="P47" s="11"/>
      <c r="V47" s="65">
        <v>43</v>
      </c>
      <c r="W47" s="66">
        <f>Inputs!H50</f>
        <v>1.0690000000000001E-3</v>
      </c>
    </row>
    <row r="48" spans="1:23" x14ac:dyDescent="0.25">
      <c r="C48" s="12"/>
      <c r="D48" s="10"/>
      <c r="E48" s="198"/>
      <c r="F48" s="10"/>
      <c r="G48" s="198"/>
      <c r="H48" s="10"/>
      <c r="I48" s="10"/>
      <c r="J48" s="10"/>
      <c r="K48" s="10"/>
      <c r="L48" s="10"/>
      <c r="N48" s="13"/>
      <c r="O48" s="11"/>
      <c r="P48" s="11"/>
      <c r="V48" s="65">
        <v>44</v>
      </c>
      <c r="W48" s="66">
        <f>Inputs!H51</f>
        <v>1.142E-3</v>
      </c>
    </row>
    <row r="49" spans="3:23" x14ac:dyDescent="0.25">
      <c r="C49" s="12"/>
      <c r="D49" s="10"/>
      <c r="E49" s="198"/>
      <c r="F49" s="10"/>
      <c r="G49" s="198"/>
      <c r="H49" s="10"/>
      <c r="I49" s="10"/>
      <c r="J49" s="10"/>
      <c r="K49" s="10"/>
      <c r="L49" s="10"/>
      <c r="N49" s="13"/>
      <c r="O49" s="11"/>
      <c r="P49" s="11"/>
      <c r="V49" s="65">
        <v>45</v>
      </c>
      <c r="W49" s="66">
        <f>Inputs!H52</f>
        <v>1.219E-3</v>
      </c>
    </row>
    <row r="50" spans="3:23" x14ac:dyDescent="0.25">
      <c r="C50" s="12"/>
      <c r="D50" s="10"/>
      <c r="E50" s="198"/>
      <c r="F50" s="10"/>
      <c r="G50" s="198"/>
      <c r="H50" s="10"/>
      <c r="I50" s="10"/>
      <c r="J50" s="10"/>
      <c r="K50" s="10"/>
      <c r="L50" s="10"/>
      <c r="N50" s="13"/>
      <c r="O50" s="11"/>
      <c r="P50" s="11"/>
      <c r="V50" s="65">
        <v>46</v>
      </c>
      <c r="W50" s="66">
        <f>Inputs!H53</f>
        <v>1.3179999999999999E-3</v>
      </c>
    </row>
    <row r="51" spans="3:23" x14ac:dyDescent="0.25">
      <c r="C51" s="12"/>
      <c r="D51" s="10"/>
      <c r="E51" s="198"/>
      <c r="F51" s="10"/>
      <c r="G51" s="198"/>
      <c r="H51" s="10"/>
      <c r="I51" s="10"/>
      <c r="J51" s="10"/>
      <c r="K51" s="10"/>
      <c r="L51" s="10"/>
      <c r="N51" s="13"/>
      <c r="O51" s="11"/>
      <c r="P51" s="11"/>
      <c r="V51" s="65">
        <v>47</v>
      </c>
      <c r="W51" s="66">
        <f>Inputs!H54</f>
        <v>1.454E-3</v>
      </c>
    </row>
    <row r="52" spans="3:23" x14ac:dyDescent="0.25">
      <c r="C52" s="12"/>
      <c r="D52" s="10"/>
      <c r="E52" s="198"/>
      <c r="F52" s="10"/>
      <c r="G52" s="198"/>
      <c r="H52" s="10"/>
      <c r="I52" s="10"/>
      <c r="J52" s="10"/>
      <c r="K52" s="10"/>
      <c r="L52" s="10"/>
      <c r="N52" s="13"/>
      <c r="O52" s="11"/>
      <c r="P52" s="11"/>
      <c r="V52" s="65">
        <v>48</v>
      </c>
      <c r="W52" s="66">
        <f>Inputs!H55</f>
        <v>1.627E-3</v>
      </c>
    </row>
    <row r="53" spans="3:23" x14ac:dyDescent="0.25">
      <c r="C53" s="12"/>
      <c r="D53" s="10"/>
      <c r="E53" s="198"/>
      <c r="F53" s="10"/>
      <c r="G53" s="198"/>
      <c r="H53" s="10"/>
      <c r="I53" s="10"/>
      <c r="J53" s="10"/>
      <c r="K53" s="10"/>
      <c r="L53" s="10"/>
      <c r="N53" s="13"/>
      <c r="O53" s="11"/>
      <c r="P53" s="11"/>
      <c r="V53" s="65">
        <v>49</v>
      </c>
      <c r="W53" s="66">
        <f>Inputs!H56</f>
        <v>1.8289999999999999E-3</v>
      </c>
    </row>
    <row r="54" spans="3:23" x14ac:dyDescent="0.25">
      <c r="C54" s="12"/>
      <c r="D54" s="10"/>
      <c r="E54" s="198"/>
      <c r="F54" s="10"/>
      <c r="G54" s="198"/>
      <c r="H54" s="10"/>
      <c r="I54" s="10"/>
      <c r="J54" s="10"/>
      <c r="K54" s="10"/>
      <c r="L54" s="10"/>
      <c r="N54" s="13"/>
      <c r="O54" s="11"/>
      <c r="P54" s="11"/>
      <c r="V54" s="65">
        <v>50</v>
      </c>
      <c r="W54" s="66">
        <f>Inputs!H57</f>
        <v>2.0569999999999998E-3</v>
      </c>
    </row>
    <row r="55" spans="3:23" x14ac:dyDescent="0.25">
      <c r="C55" s="12"/>
      <c r="D55" s="10"/>
      <c r="E55" s="198"/>
      <c r="F55" s="10"/>
      <c r="G55" s="198"/>
      <c r="H55" s="10"/>
      <c r="I55" s="10"/>
      <c r="J55" s="10"/>
      <c r="K55" s="10"/>
      <c r="L55" s="10"/>
      <c r="N55" s="13"/>
      <c r="O55" s="11"/>
      <c r="P55" s="11"/>
      <c r="V55" s="65">
        <v>51</v>
      </c>
      <c r="W55" s="66">
        <f>Inputs!H58</f>
        <v>2.3019999999999998E-3</v>
      </c>
    </row>
    <row r="56" spans="3:23" x14ac:dyDescent="0.25">
      <c r="C56" s="12"/>
      <c r="D56" s="10"/>
      <c r="E56" s="198"/>
      <c r="F56" s="10"/>
      <c r="G56" s="198"/>
      <c r="H56" s="10"/>
      <c r="I56" s="10"/>
      <c r="J56" s="10"/>
      <c r="K56" s="10"/>
      <c r="L56" s="10"/>
      <c r="N56" s="13"/>
      <c r="O56" s="11"/>
      <c r="P56" s="11"/>
      <c r="V56" s="65">
        <v>52</v>
      </c>
      <c r="W56" s="66">
        <f>Inputs!H59</f>
        <v>2.545E-3</v>
      </c>
    </row>
    <row r="57" spans="3:23" x14ac:dyDescent="0.25">
      <c r="C57" s="12"/>
      <c r="D57" s="10"/>
      <c r="E57" s="198"/>
      <c r="F57" s="10"/>
      <c r="G57" s="198"/>
      <c r="H57" s="10"/>
      <c r="I57" s="10"/>
      <c r="J57" s="10"/>
      <c r="K57" s="10"/>
      <c r="L57" s="10"/>
      <c r="N57" s="13"/>
      <c r="O57" s="11"/>
      <c r="P57" s="11"/>
      <c r="V57" s="65">
        <v>53</v>
      </c>
      <c r="W57" s="66">
        <f>Inputs!H60</f>
        <v>2.7789999999999998E-3</v>
      </c>
    </row>
    <row r="58" spans="3:23" x14ac:dyDescent="0.25">
      <c r="C58" s="12"/>
      <c r="D58" s="10"/>
      <c r="E58" s="198"/>
      <c r="F58" s="10"/>
      <c r="G58" s="198"/>
      <c r="H58" s="10"/>
      <c r="I58" s="10"/>
      <c r="J58" s="10"/>
      <c r="K58" s="10"/>
      <c r="L58" s="10"/>
      <c r="N58" s="13"/>
      <c r="O58" s="11"/>
      <c r="P58" s="11"/>
      <c r="V58" s="65">
        <v>54</v>
      </c>
      <c r="W58" s="66">
        <f>Inputs!H61</f>
        <v>3.0109999999999998E-3</v>
      </c>
    </row>
    <row r="59" spans="3:23" x14ac:dyDescent="0.25">
      <c r="C59" s="12"/>
      <c r="D59" s="10"/>
      <c r="E59" s="198"/>
      <c r="F59" s="10"/>
      <c r="G59" s="198"/>
      <c r="H59" s="10"/>
      <c r="I59" s="10"/>
      <c r="J59" s="10"/>
      <c r="K59" s="10"/>
      <c r="L59" s="10"/>
      <c r="N59" s="13"/>
      <c r="O59" s="11"/>
      <c r="P59" s="11"/>
      <c r="V59" s="65">
        <v>55</v>
      </c>
      <c r="W59" s="66">
        <f>Inputs!H62</f>
        <v>3.2539999999999999E-3</v>
      </c>
    </row>
    <row r="60" spans="3:23" x14ac:dyDescent="0.25">
      <c r="C60" s="12"/>
      <c r="D60" s="10"/>
      <c r="E60" s="198"/>
      <c r="F60" s="10"/>
      <c r="G60" s="198"/>
      <c r="H60" s="10"/>
      <c r="I60" s="10"/>
      <c r="J60" s="10"/>
      <c r="K60" s="10"/>
      <c r="L60" s="10"/>
      <c r="N60" s="13"/>
      <c r="O60" s="11"/>
      <c r="P60" s="11"/>
      <c r="V60" s="65">
        <v>56</v>
      </c>
      <c r="W60" s="66">
        <f>Inputs!H63</f>
        <v>3.529E-3</v>
      </c>
    </row>
    <row r="61" spans="3:23" x14ac:dyDescent="0.25">
      <c r="C61" s="12"/>
      <c r="D61" s="10"/>
      <c r="E61" s="198"/>
      <c r="F61" s="10"/>
      <c r="G61" s="198"/>
      <c r="H61" s="10"/>
      <c r="I61" s="10"/>
      <c r="J61" s="10"/>
      <c r="K61" s="10"/>
      <c r="L61" s="10"/>
      <c r="N61" s="13"/>
      <c r="O61" s="11"/>
      <c r="P61" s="11"/>
      <c r="V61" s="65">
        <v>57</v>
      </c>
      <c r="W61" s="66">
        <f>Inputs!H64</f>
        <v>3.8449999999999999E-3</v>
      </c>
    </row>
    <row r="62" spans="3:23" x14ac:dyDescent="0.25">
      <c r="C62" s="12"/>
      <c r="D62" s="10"/>
      <c r="E62" s="198"/>
      <c r="F62" s="10"/>
      <c r="G62" s="198"/>
      <c r="H62" s="10"/>
      <c r="I62" s="10"/>
      <c r="J62" s="10"/>
      <c r="K62" s="10"/>
      <c r="L62" s="10"/>
      <c r="N62" s="13"/>
      <c r="O62" s="11"/>
      <c r="P62" s="11"/>
      <c r="V62" s="65">
        <v>58</v>
      </c>
      <c r="W62" s="66">
        <f>Inputs!H65</f>
        <v>4.2129999999999997E-3</v>
      </c>
    </row>
    <row r="63" spans="3:23" x14ac:dyDescent="0.25">
      <c r="C63" s="12"/>
      <c r="D63" s="10"/>
      <c r="E63" s="198"/>
      <c r="F63" s="10"/>
      <c r="G63" s="198"/>
      <c r="H63" s="10"/>
      <c r="I63" s="10"/>
      <c r="J63" s="10"/>
      <c r="K63" s="10"/>
      <c r="L63" s="10"/>
      <c r="N63" s="13"/>
      <c r="O63" s="11"/>
      <c r="P63" s="11"/>
      <c r="V63" s="65">
        <v>59</v>
      </c>
      <c r="W63" s="66">
        <f>Inputs!H66</f>
        <v>4.6309999999999997E-3</v>
      </c>
    </row>
    <row r="64" spans="3:23" x14ac:dyDescent="0.25">
      <c r="C64" s="12"/>
      <c r="D64" s="10"/>
      <c r="E64" s="198"/>
      <c r="F64" s="10"/>
      <c r="G64" s="198"/>
      <c r="H64" s="10"/>
      <c r="I64" s="10"/>
      <c r="J64" s="10"/>
      <c r="K64" s="10"/>
      <c r="L64" s="10"/>
      <c r="N64" s="13"/>
      <c r="O64" s="11"/>
      <c r="P64" s="11"/>
      <c r="V64" s="65">
        <v>60</v>
      </c>
      <c r="W64" s="66">
        <f>Inputs!H67</f>
        <v>5.0959999999999998E-3</v>
      </c>
    </row>
    <row r="65" spans="3:23" x14ac:dyDescent="0.25">
      <c r="C65" s="12"/>
      <c r="D65" s="10"/>
      <c r="E65" s="198"/>
      <c r="F65" s="10"/>
      <c r="G65" s="198"/>
      <c r="H65" s="10"/>
      <c r="I65" s="10"/>
      <c r="J65" s="10"/>
      <c r="K65" s="10"/>
      <c r="L65" s="10"/>
      <c r="N65" s="13"/>
      <c r="O65" s="11"/>
      <c r="P65" s="11"/>
      <c r="V65" s="65">
        <v>61</v>
      </c>
      <c r="W65" s="66">
        <f>Inputs!H68</f>
        <v>5.6140000000000001E-3</v>
      </c>
    </row>
    <row r="66" spans="3:23" x14ac:dyDescent="0.25">
      <c r="C66" s="12"/>
      <c r="D66" s="10"/>
      <c r="E66" s="198"/>
      <c r="F66" s="10"/>
      <c r="G66" s="198"/>
      <c r="H66" s="10"/>
      <c r="I66" s="10"/>
      <c r="J66" s="10"/>
      <c r="K66" s="10"/>
      <c r="L66" s="10"/>
      <c r="N66" s="13"/>
      <c r="O66" s="11"/>
      <c r="P66" s="11"/>
      <c r="V66" s="65">
        <v>62</v>
      </c>
      <c r="W66" s="66">
        <f>Inputs!H69</f>
        <v>6.169E-3</v>
      </c>
    </row>
    <row r="67" spans="3:23" x14ac:dyDescent="0.25">
      <c r="C67" s="12"/>
      <c r="D67" s="10"/>
      <c r="E67" s="198"/>
      <c r="F67" s="10"/>
      <c r="G67" s="198"/>
      <c r="H67" s="10"/>
      <c r="I67" s="10"/>
      <c r="J67" s="10"/>
      <c r="K67" s="10"/>
      <c r="L67" s="10"/>
      <c r="N67" s="13"/>
      <c r="O67" s="11"/>
      <c r="P67" s="11"/>
      <c r="V67" s="65">
        <v>63</v>
      </c>
      <c r="W67" s="66">
        <f>Inputs!H70</f>
        <v>6.7590000000000003E-3</v>
      </c>
    </row>
    <row r="68" spans="3:23" x14ac:dyDescent="0.25">
      <c r="C68" s="12"/>
      <c r="D68" s="10"/>
      <c r="E68" s="198"/>
      <c r="F68" s="10"/>
      <c r="G68" s="198"/>
      <c r="H68" s="10"/>
      <c r="I68" s="10"/>
      <c r="J68" s="10"/>
      <c r="K68" s="10"/>
      <c r="L68" s="10"/>
      <c r="N68" s="13"/>
      <c r="O68" s="11"/>
      <c r="P68" s="11"/>
      <c r="V68" s="65">
        <v>64</v>
      </c>
      <c r="W68" s="66">
        <f>Inputs!H71</f>
        <v>7.3980000000000001E-3</v>
      </c>
    </row>
    <row r="69" spans="3:23" x14ac:dyDescent="0.25">
      <c r="C69" s="12"/>
      <c r="D69" s="10"/>
      <c r="E69" s="198"/>
      <c r="F69" s="10"/>
      <c r="G69" s="198"/>
      <c r="H69" s="10"/>
      <c r="I69" s="10"/>
      <c r="J69" s="10"/>
      <c r="K69" s="10"/>
      <c r="L69" s="10"/>
      <c r="N69" s="13"/>
      <c r="O69" s="11"/>
      <c r="P69" s="11"/>
      <c r="V69" s="65">
        <v>65</v>
      </c>
      <c r="W69" s="66">
        <f>Inputs!H72</f>
        <v>8.1060000000000004E-3</v>
      </c>
    </row>
    <row r="70" spans="3:23" x14ac:dyDescent="0.25">
      <c r="C70" s="12"/>
      <c r="D70" s="10"/>
      <c r="E70" s="198"/>
      <c r="F70" s="10"/>
      <c r="G70" s="198"/>
      <c r="H70" s="10"/>
      <c r="I70" s="10"/>
      <c r="J70" s="10"/>
      <c r="K70" s="10"/>
      <c r="L70" s="10"/>
      <c r="N70" s="13"/>
      <c r="O70" s="11"/>
      <c r="P70" s="11"/>
      <c r="V70" s="65">
        <v>66</v>
      </c>
      <c r="W70" s="66">
        <f>Inputs!H73</f>
        <v>8.548E-3</v>
      </c>
    </row>
    <row r="71" spans="3:23" x14ac:dyDescent="0.25">
      <c r="C71" s="12"/>
      <c r="D71" s="10"/>
      <c r="E71" s="10"/>
      <c r="F71" s="10"/>
      <c r="G71" s="10"/>
      <c r="H71" s="10"/>
      <c r="I71" s="10"/>
      <c r="J71" s="10"/>
      <c r="K71" s="10"/>
      <c r="L71" s="10"/>
      <c r="N71" s="13"/>
      <c r="O71" s="11"/>
      <c r="P71" s="11"/>
      <c r="V71" s="65">
        <v>67</v>
      </c>
      <c r="W71" s="66">
        <f>Inputs!H74</f>
        <v>9.0760000000000007E-3</v>
      </c>
    </row>
    <row r="72" spans="3:23" x14ac:dyDescent="0.25">
      <c r="C72" s="12"/>
      <c r="D72" s="10"/>
      <c r="E72" s="10"/>
      <c r="F72" s="10"/>
      <c r="G72" s="10"/>
      <c r="H72" s="10"/>
      <c r="I72" s="10"/>
      <c r="J72" s="10"/>
      <c r="K72" s="10"/>
      <c r="L72" s="10"/>
      <c r="N72" s="13"/>
      <c r="O72" s="11"/>
      <c r="P72" s="11"/>
      <c r="V72" s="65">
        <v>68</v>
      </c>
      <c r="W72" s="66">
        <f>Inputs!H75</f>
        <v>9.7079999999999996E-3</v>
      </c>
    </row>
    <row r="73" spans="3:23" x14ac:dyDescent="0.25">
      <c r="C73" s="12"/>
      <c r="D73" s="10"/>
      <c r="E73" s="10"/>
      <c r="F73" s="10"/>
      <c r="G73" s="10"/>
      <c r="H73" s="10"/>
      <c r="I73" s="10"/>
      <c r="J73" s="10"/>
      <c r="K73" s="10"/>
      <c r="L73" s="10"/>
      <c r="N73" s="13"/>
      <c r="O73" s="11"/>
      <c r="P73" s="11"/>
      <c r="V73" s="65">
        <v>69</v>
      </c>
      <c r="W73" s="66">
        <f>Inputs!H76</f>
        <v>1.0463E-2</v>
      </c>
    </row>
    <row r="74" spans="3:23" x14ac:dyDescent="0.25">
      <c r="C74" s="12"/>
      <c r="D74" s="10"/>
      <c r="E74" s="10"/>
      <c r="F74" s="10"/>
      <c r="G74" s="10"/>
      <c r="H74" s="10"/>
      <c r="I74" s="10"/>
      <c r="J74" s="10"/>
      <c r="K74" s="10"/>
      <c r="L74" s="10"/>
      <c r="N74" s="13"/>
      <c r="O74" s="11"/>
      <c r="P74" s="11"/>
      <c r="V74" s="65">
        <v>70</v>
      </c>
      <c r="W74" s="66">
        <f>Inputs!H77</f>
        <v>1.1357000000000001E-2</v>
      </c>
    </row>
    <row r="75" spans="3:23" x14ac:dyDescent="0.25">
      <c r="C75" s="12"/>
      <c r="D75" s="10"/>
      <c r="E75" s="10"/>
      <c r="F75" s="10"/>
      <c r="G75" s="10"/>
      <c r="H75" s="10"/>
      <c r="I75" s="10"/>
      <c r="J75" s="10"/>
      <c r="K75" s="10"/>
      <c r="L75" s="10"/>
      <c r="N75" s="13"/>
      <c r="O75" s="11"/>
      <c r="P75" s="11"/>
      <c r="V75" s="65">
        <v>71</v>
      </c>
      <c r="W75" s="66">
        <f>Inputs!H78</f>
        <v>1.2418E-2</v>
      </c>
    </row>
    <row r="76" spans="3:23" x14ac:dyDescent="0.25">
      <c r="C76" s="12"/>
      <c r="D76" s="10"/>
      <c r="E76" s="10"/>
      <c r="F76" s="10"/>
      <c r="G76" s="10"/>
      <c r="H76" s="10"/>
      <c r="I76" s="10"/>
      <c r="J76" s="10"/>
      <c r="K76" s="10"/>
      <c r="L76" s="10"/>
      <c r="N76" s="13"/>
      <c r="O76" s="11"/>
      <c r="P76" s="11"/>
      <c r="V76" s="65">
        <v>72</v>
      </c>
      <c r="W76" s="66">
        <f>Inputs!H79</f>
        <v>1.3675E-2</v>
      </c>
    </row>
    <row r="77" spans="3:23" x14ac:dyDescent="0.25">
      <c r="C77" s="12"/>
      <c r="D77" s="10"/>
      <c r="E77" s="10"/>
      <c r="F77" s="10"/>
      <c r="G77" s="10"/>
      <c r="H77" s="10"/>
      <c r="I77" s="10"/>
      <c r="J77" s="10"/>
      <c r="K77" s="10"/>
      <c r="L77" s="10"/>
      <c r="N77" s="13"/>
      <c r="O77" s="11"/>
      <c r="P77" s="11"/>
      <c r="V77" s="65">
        <v>73</v>
      </c>
      <c r="W77" s="66">
        <f>Inputs!H80</f>
        <v>1.515E-2</v>
      </c>
    </row>
    <row r="78" spans="3:23" x14ac:dyDescent="0.25">
      <c r="C78" s="12"/>
      <c r="D78" s="10"/>
      <c r="E78" s="10"/>
      <c r="F78" s="10"/>
      <c r="G78" s="10"/>
      <c r="H78" s="10"/>
      <c r="I78" s="10"/>
      <c r="J78" s="10"/>
      <c r="K78" s="10"/>
      <c r="L78" s="10"/>
      <c r="N78" s="13"/>
      <c r="O78" s="11"/>
      <c r="P78" s="11"/>
      <c r="V78" s="65">
        <v>74</v>
      </c>
      <c r="W78" s="66">
        <f>Inputs!H81</f>
        <v>1.686E-2</v>
      </c>
    </row>
    <row r="79" spans="3:23" x14ac:dyDescent="0.25">
      <c r="C79" s="12"/>
      <c r="D79" s="10"/>
      <c r="E79" s="10"/>
      <c r="F79" s="10"/>
      <c r="G79" s="10"/>
      <c r="H79" s="10"/>
      <c r="I79" s="10"/>
      <c r="J79" s="10"/>
      <c r="K79" s="10"/>
      <c r="L79" s="10"/>
      <c r="N79" s="13"/>
      <c r="O79" s="11"/>
      <c r="P79" s="11"/>
      <c r="V79" s="65">
        <v>75</v>
      </c>
      <c r="W79" s="66">
        <f>Inputs!H82</f>
        <v>1.8814999999999998E-2</v>
      </c>
    </row>
    <row r="80" spans="3:23" x14ac:dyDescent="0.25">
      <c r="C80" s="25"/>
      <c r="V80" s="65">
        <v>76</v>
      </c>
      <c r="W80" s="66">
        <f>Inputs!H83</f>
        <v>2.1031000000000001E-2</v>
      </c>
    </row>
    <row r="81" spans="3:23" x14ac:dyDescent="0.25">
      <c r="C81" s="25"/>
      <c r="V81" s="65">
        <v>77</v>
      </c>
      <c r="W81" s="66">
        <f>Inputs!H84</f>
        <v>2.3539999999999998E-2</v>
      </c>
    </row>
    <row r="82" spans="3:23" x14ac:dyDescent="0.25">
      <c r="C82" s="25"/>
      <c r="V82" s="65">
        <v>78</v>
      </c>
      <c r="W82" s="66">
        <f>Inputs!H85</f>
        <v>2.6374999999999999E-2</v>
      </c>
    </row>
    <row r="83" spans="3:23" x14ac:dyDescent="0.25">
      <c r="C83" s="25"/>
      <c r="V83" s="65">
        <v>79</v>
      </c>
      <c r="W83" s="66">
        <f>Inputs!H86</f>
        <v>2.9572000000000001E-2</v>
      </c>
    </row>
    <row r="84" spans="3:23" x14ac:dyDescent="0.25">
      <c r="C84" s="25"/>
      <c r="V84" s="65">
        <v>80</v>
      </c>
      <c r="W84" s="66">
        <f>Inputs!H87</f>
        <v>3.3234E-2</v>
      </c>
    </row>
    <row r="85" spans="3:23" x14ac:dyDescent="0.25">
      <c r="C85" s="25"/>
      <c r="V85" s="65">
        <v>81</v>
      </c>
      <c r="W85" s="66">
        <f>Inputs!H88</f>
        <v>3.7532999999999997E-2</v>
      </c>
    </row>
    <row r="86" spans="3:23" x14ac:dyDescent="0.25">
      <c r="C86" s="25"/>
      <c r="V86" s="65">
        <v>82</v>
      </c>
      <c r="W86" s="66">
        <f>Inputs!H89</f>
        <v>4.2261E-2</v>
      </c>
    </row>
    <row r="87" spans="3:23" x14ac:dyDescent="0.25">
      <c r="C87" s="25"/>
      <c r="V87" s="65">
        <v>83</v>
      </c>
      <c r="W87" s="66">
        <f>Inputs!H90</f>
        <v>4.7440999999999997E-2</v>
      </c>
    </row>
    <row r="88" spans="3:23" x14ac:dyDescent="0.25">
      <c r="C88" s="25"/>
      <c r="V88" s="65">
        <v>84</v>
      </c>
      <c r="W88" s="66">
        <f>Inputs!H91</f>
        <v>5.3233000000000003E-2</v>
      </c>
    </row>
    <row r="89" spans="3:23" x14ac:dyDescent="0.25">
      <c r="C89" s="25"/>
      <c r="V89" s="65">
        <v>85</v>
      </c>
      <c r="W89" s="66">
        <f>Inputs!H92</f>
        <v>5.9854999999999998E-2</v>
      </c>
    </row>
    <row r="90" spans="3:23" x14ac:dyDescent="0.25">
      <c r="C90" s="25"/>
      <c r="V90" s="65">
        <v>86</v>
      </c>
      <c r="W90" s="66">
        <f>Inputs!H93</f>
        <v>6.7514000000000005E-2</v>
      </c>
    </row>
    <row r="91" spans="3:23" x14ac:dyDescent="0.25">
      <c r="C91" s="25"/>
      <c r="V91" s="65">
        <v>87</v>
      </c>
      <c r="W91" s="66">
        <f>Inputs!H94</f>
        <v>7.6340000000000005E-2</v>
      </c>
    </row>
    <row r="92" spans="3:23" x14ac:dyDescent="0.25">
      <c r="C92" s="25"/>
      <c r="V92" s="65">
        <v>88</v>
      </c>
      <c r="W92" s="66">
        <f>Inputs!H95</f>
        <v>8.6388000000000006E-2</v>
      </c>
    </row>
    <row r="93" spans="3:23" x14ac:dyDescent="0.25">
      <c r="C93" s="25"/>
      <c r="V93" s="65">
        <v>89</v>
      </c>
      <c r="W93" s="66">
        <f>Inputs!H96</f>
        <v>9.7633999999999999E-2</v>
      </c>
    </row>
    <row r="94" spans="3:23" x14ac:dyDescent="0.25">
      <c r="C94" s="25"/>
      <c r="V94" s="65">
        <v>90</v>
      </c>
      <c r="W94" s="66">
        <f>Inputs!H97</f>
        <v>0.10999299999999999</v>
      </c>
    </row>
    <row r="95" spans="3:23" x14ac:dyDescent="0.25">
      <c r="C95" s="25"/>
      <c r="V95" s="65">
        <v>91</v>
      </c>
      <c r="W95" s="66">
        <f>Inputs!H98</f>
        <v>0.12311900000000001</v>
      </c>
    </row>
    <row r="96" spans="3:23" x14ac:dyDescent="0.25">
      <c r="C96" s="25"/>
      <c r="V96" s="65">
        <v>92</v>
      </c>
      <c r="W96" s="66">
        <f>Inputs!H99</f>
        <v>0.13716800000000001</v>
      </c>
    </row>
    <row r="97" spans="3:23" x14ac:dyDescent="0.25">
      <c r="C97" s="25"/>
      <c r="V97" s="65">
        <v>93</v>
      </c>
      <c r="W97" s="66">
        <f>Inputs!H100</f>
        <v>0.152171</v>
      </c>
    </row>
    <row r="98" spans="3:23" x14ac:dyDescent="0.25">
      <c r="C98" s="25"/>
      <c r="V98" s="65">
        <v>94</v>
      </c>
      <c r="W98" s="66">
        <f>Inputs!H101</f>
        <v>0.16819400000000001</v>
      </c>
    </row>
    <row r="99" spans="3:23" x14ac:dyDescent="0.25">
      <c r="C99" s="25"/>
      <c r="V99" s="65">
        <v>95</v>
      </c>
      <c r="W99" s="66">
        <f>Inputs!H102</f>
        <v>0.18526000000000001</v>
      </c>
    </row>
    <row r="100" spans="3:23" x14ac:dyDescent="0.25">
      <c r="C100" s="25"/>
      <c r="V100" s="65">
        <v>96</v>
      </c>
      <c r="W100" s="66">
        <f>Inputs!H103</f>
        <v>0.197322</v>
      </c>
    </row>
    <row r="101" spans="3:23" x14ac:dyDescent="0.25">
      <c r="C101" s="25"/>
      <c r="V101" s="65">
        <v>97</v>
      </c>
      <c r="W101" s="66">
        <f>Inputs!H104</f>
        <v>0.214751</v>
      </c>
    </row>
    <row r="102" spans="3:23" x14ac:dyDescent="0.25">
      <c r="C102" s="25"/>
      <c r="V102" s="65">
        <v>98</v>
      </c>
      <c r="W102" s="66">
        <f>Inputs!H105</f>
        <v>0.23250699999999999</v>
      </c>
    </row>
    <row r="103" spans="3:23" x14ac:dyDescent="0.25">
      <c r="C103" s="25"/>
      <c r="V103" s="65">
        <v>99</v>
      </c>
      <c r="W103" s="66">
        <f>Inputs!H106</f>
        <v>0.25039699999999998</v>
      </c>
    </row>
    <row r="104" spans="3:23" x14ac:dyDescent="0.25">
      <c r="C104" s="25"/>
      <c r="V104" s="65">
        <v>100</v>
      </c>
      <c r="W104" s="66">
        <f>Inputs!H107</f>
        <v>0.26860699999999998</v>
      </c>
    </row>
    <row r="105" spans="3:23" x14ac:dyDescent="0.25">
      <c r="C105" s="25"/>
      <c r="V105" s="65">
        <v>101</v>
      </c>
      <c r="W105" s="66">
        <f>Inputs!H108</f>
        <v>0.290016</v>
      </c>
    </row>
    <row r="106" spans="3:23" x14ac:dyDescent="0.25">
      <c r="C106" s="25"/>
      <c r="V106" s="65">
        <v>102</v>
      </c>
      <c r="W106" s="66">
        <f>Inputs!H109</f>
        <v>0.31184899999999999</v>
      </c>
    </row>
    <row r="107" spans="3:23" x14ac:dyDescent="0.25">
      <c r="C107" s="25"/>
      <c r="V107" s="65">
        <v>103</v>
      </c>
      <c r="W107" s="66">
        <f>Inputs!H110</f>
        <v>0.33396199999999998</v>
      </c>
    </row>
    <row r="108" spans="3:23" x14ac:dyDescent="0.25">
      <c r="C108" s="25"/>
      <c r="V108" s="65">
        <v>104</v>
      </c>
      <c r="W108" s="66">
        <f>Inputs!H111</f>
        <v>0.356207</v>
      </c>
    </row>
    <row r="109" spans="3:23" x14ac:dyDescent="0.25">
      <c r="C109" s="25"/>
      <c r="V109" s="65">
        <v>105</v>
      </c>
      <c r="W109" s="66">
        <f>Inputs!H112</f>
        <v>0.38</v>
      </c>
    </row>
    <row r="110" spans="3:23" x14ac:dyDescent="0.25">
      <c r="C110" s="25"/>
      <c r="V110" s="65">
        <v>106</v>
      </c>
      <c r="W110" s="66">
        <f>Inputs!H113</f>
        <v>0.4</v>
      </c>
    </row>
    <row r="111" spans="3:23" x14ac:dyDescent="0.25">
      <c r="C111" s="25"/>
      <c r="V111" s="65">
        <v>107</v>
      </c>
      <c r="W111" s="66">
        <f>Inputs!H114</f>
        <v>0.4</v>
      </c>
    </row>
    <row r="112" spans="3:23" x14ac:dyDescent="0.25">
      <c r="C112" s="25"/>
      <c r="V112" s="65">
        <v>108</v>
      </c>
      <c r="W112" s="66">
        <f>Inputs!H115</f>
        <v>0.4</v>
      </c>
    </row>
    <row r="113" spans="3:23" x14ac:dyDescent="0.25">
      <c r="C113" s="25"/>
      <c r="V113" s="65">
        <v>109</v>
      </c>
      <c r="W113" s="66">
        <f>Inputs!H116</f>
        <v>0.4</v>
      </c>
    </row>
    <row r="114" spans="3:23" x14ac:dyDescent="0.25">
      <c r="C114" s="25"/>
      <c r="V114" s="65">
        <v>110</v>
      </c>
      <c r="W114" s="66">
        <f>Inputs!H117</f>
        <v>0.4</v>
      </c>
    </row>
    <row r="115" spans="3:23" x14ac:dyDescent="0.25">
      <c r="C115" s="25"/>
      <c r="V115" s="65">
        <v>111</v>
      </c>
      <c r="W115" s="66">
        <f>Inputs!H118</f>
        <v>0.4</v>
      </c>
    </row>
    <row r="116" spans="3:23" x14ac:dyDescent="0.25">
      <c r="C116" s="25"/>
      <c r="V116" s="65">
        <v>112</v>
      </c>
      <c r="W116" s="66">
        <f>Inputs!H119</f>
        <v>0.4</v>
      </c>
    </row>
    <row r="117" spans="3:23" x14ac:dyDescent="0.25">
      <c r="C117" s="25"/>
      <c r="V117" s="65">
        <v>113</v>
      </c>
      <c r="W117" s="66">
        <f>Inputs!H120</f>
        <v>0.4</v>
      </c>
    </row>
    <row r="118" spans="3:23" x14ac:dyDescent="0.25">
      <c r="C118" s="25"/>
      <c r="V118" s="65">
        <v>114</v>
      </c>
      <c r="W118" s="66">
        <f>Inputs!H121</f>
        <v>0.4</v>
      </c>
    </row>
    <row r="119" spans="3:23" x14ac:dyDescent="0.25">
      <c r="C119" s="25"/>
      <c r="V119" s="65">
        <v>115</v>
      </c>
      <c r="W119" s="66">
        <f>Inputs!H122</f>
        <v>0.4</v>
      </c>
    </row>
    <row r="120" spans="3:23" x14ac:dyDescent="0.25">
      <c r="C120" s="25"/>
      <c r="V120" s="65">
        <v>116</v>
      </c>
      <c r="W120" s="66">
        <f>Inputs!H123</f>
        <v>0.4</v>
      </c>
    </row>
    <row r="121" spans="3:23" x14ac:dyDescent="0.25">
      <c r="C121" s="25"/>
      <c r="V121" s="65">
        <v>117</v>
      </c>
      <c r="W121" s="66">
        <f>Inputs!H124</f>
        <v>0.4</v>
      </c>
    </row>
    <row r="122" spans="3:23" x14ac:dyDescent="0.25">
      <c r="C122" s="25"/>
      <c r="V122" s="65">
        <v>118</v>
      </c>
      <c r="W122" s="66">
        <f>Inputs!H125</f>
        <v>0.4</v>
      </c>
    </row>
    <row r="123" spans="3:23" x14ac:dyDescent="0.25">
      <c r="C123" s="25"/>
      <c r="V123" s="65">
        <v>119</v>
      </c>
      <c r="W123" s="66">
        <f>Inputs!H126</f>
        <v>0.4</v>
      </c>
    </row>
    <row r="124" spans="3:23" ht="15.75" thickBot="1" x14ac:dyDescent="0.3">
      <c r="C124" s="25"/>
      <c r="F124" s="35"/>
      <c r="G124" s="35"/>
      <c r="V124" s="67">
        <v>120</v>
      </c>
      <c r="W124" s="66">
        <f>Inputs!H127</f>
        <v>1</v>
      </c>
    </row>
    <row r="125" spans="3:23" x14ac:dyDescent="0.25">
      <c r="C125" s="25"/>
      <c r="F125" s="35"/>
      <c r="G125" s="35"/>
    </row>
    <row r="126" spans="3:23" x14ac:dyDescent="0.25">
      <c r="C126" s="25"/>
      <c r="F126" s="35"/>
      <c r="G126" s="35"/>
    </row>
    <row r="127" spans="3:23" x14ac:dyDescent="0.25">
      <c r="C127" s="25"/>
      <c r="F127" s="35"/>
      <c r="G127" s="35"/>
    </row>
    <row r="128" spans="3:23" x14ac:dyDescent="0.25">
      <c r="C128" s="25"/>
      <c r="F128" s="35"/>
      <c r="G128" s="35"/>
    </row>
    <row r="129" spans="3:7" x14ac:dyDescent="0.25">
      <c r="C129" s="25"/>
      <c r="F129" s="35"/>
      <c r="G129" s="35"/>
    </row>
    <row r="130" spans="3:7" x14ac:dyDescent="0.25">
      <c r="C130" s="25"/>
      <c r="F130" s="35"/>
      <c r="G130" s="35"/>
    </row>
    <row r="131" spans="3:7" x14ac:dyDescent="0.25">
      <c r="C131" s="25"/>
    </row>
    <row r="132" spans="3:7" x14ac:dyDescent="0.25">
      <c r="C132" s="25"/>
    </row>
    <row r="133" spans="3:7" x14ac:dyDescent="0.25">
      <c r="C133" s="25"/>
    </row>
    <row r="134" spans="3:7" x14ac:dyDescent="0.25">
      <c r="C134" s="25"/>
    </row>
    <row r="135" spans="3:7" x14ac:dyDescent="0.25">
      <c r="C135" s="25"/>
    </row>
    <row r="136" spans="3:7" x14ac:dyDescent="0.25">
      <c r="C136" s="25"/>
    </row>
    <row r="137" spans="3:7" x14ac:dyDescent="0.25">
      <c r="C137" s="25"/>
    </row>
    <row r="138" spans="3:7" x14ac:dyDescent="0.25">
      <c r="C138" s="25"/>
    </row>
    <row r="139" spans="3:7" x14ac:dyDescent="0.25">
      <c r="C139" s="25"/>
    </row>
    <row r="140" spans="3:7" x14ac:dyDescent="0.25">
      <c r="C140" s="25"/>
    </row>
    <row r="141" spans="3:7" x14ac:dyDescent="0.25">
      <c r="C141" s="25"/>
    </row>
    <row r="142" spans="3:7" x14ac:dyDescent="0.25">
      <c r="C142" s="25"/>
    </row>
    <row r="143" spans="3:7" x14ac:dyDescent="0.25">
      <c r="C143" s="25"/>
    </row>
    <row r="144" spans="3:7"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70">
    <cfRule type="cellIs" dxfId="1" priority="2" operator="equal">
      <formula>1</formula>
    </cfRule>
  </conditionalFormatting>
  <conditionalFormatting sqref="G5:G70">
    <cfRule type="cellIs" dxfId="0" priority="1" operator="equal">
      <formula>1</formula>
    </cfRule>
  </conditionalFormatting>
  <hyperlinks>
    <hyperlink ref="O1" location="'Read Me'!A1" display="Return to 'Read Me'"/>
    <hyperlink ref="O2" location="Summary!A1" display="Return to 'Summary'"/>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topLeftCell="A17" workbookViewId="0">
      <selection activeCell="A42" sqref="A42:C49"/>
    </sheetView>
  </sheetViews>
  <sheetFormatPr defaultRowHeight="15" x14ac:dyDescent="0.25"/>
  <cols>
    <col min="4" max="4" width="9.125" customWidth="1"/>
    <col min="5" max="5" width="9.75" bestFit="1" customWidth="1"/>
    <col min="6" max="7" width="10.375" customWidth="1"/>
    <col min="8" max="8" width="9.125" customWidth="1"/>
    <col min="10" max="10" width="8.625" customWidth="1"/>
    <col min="12" max="12" width="6.375" customWidth="1"/>
    <col min="13" max="13" width="6.875" customWidth="1"/>
    <col min="14" max="14" width="9.375" customWidth="1"/>
    <col min="16" max="16" width="11.125" customWidth="1"/>
    <col min="17" max="17" width="9.75" customWidth="1"/>
  </cols>
  <sheetData>
    <row r="1" spans="1:20" ht="21" x14ac:dyDescent="0.35">
      <c r="A1" s="2" t="s">
        <v>0</v>
      </c>
      <c r="R1" s="33"/>
      <c r="S1" s="33"/>
      <c r="T1" s="33"/>
    </row>
    <row r="2" spans="1:20" x14ac:dyDescent="0.25">
      <c r="A2" s="181" t="s">
        <v>173</v>
      </c>
      <c r="O2" s="24"/>
      <c r="P2" s="24"/>
      <c r="Q2" s="24"/>
      <c r="R2" s="50"/>
      <c r="S2" s="33"/>
      <c r="T2" s="33"/>
    </row>
    <row r="3" spans="1:20" x14ac:dyDescent="0.25">
      <c r="A3" s="166" t="s">
        <v>174</v>
      </c>
      <c r="R3" s="33"/>
      <c r="S3" s="33"/>
      <c r="T3" s="33"/>
    </row>
    <row r="4" spans="1:20" ht="18.75" x14ac:dyDescent="0.3">
      <c r="B4" s="112" t="s">
        <v>23</v>
      </c>
      <c r="I4" s="112" t="s">
        <v>37</v>
      </c>
      <c r="N4" s="26"/>
      <c r="R4" s="33"/>
      <c r="S4" s="33"/>
      <c r="T4" s="33"/>
    </row>
    <row r="5" spans="1:20" ht="15.75" x14ac:dyDescent="0.25">
      <c r="B5" s="1" t="s">
        <v>229</v>
      </c>
      <c r="I5" s="109" t="s">
        <v>5</v>
      </c>
      <c r="N5" s="109" t="s">
        <v>103</v>
      </c>
      <c r="R5" s="33"/>
      <c r="S5" s="33"/>
      <c r="T5" s="33"/>
    </row>
    <row r="6" spans="1:20" x14ac:dyDescent="0.25">
      <c r="B6" s="14"/>
      <c r="C6" s="14"/>
      <c r="D6" s="14"/>
      <c r="E6" s="14" t="s">
        <v>4</v>
      </c>
      <c r="F6" s="14"/>
      <c r="G6" s="14"/>
      <c r="H6" s="14"/>
      <c r="I6" s="14"/>
      <c r="J6" s="14"/>
      <c r="K6" s="14" t="s">
        <v>4</v>
      </c>
      <c r="N6" s="14"/>
      <c r="O6" s="14" t="s">
        <v>24</v>
      </c>
      <c r="P6" s="14" t="s">
        <v>134</v>
      </c>
      <c r="Q6" s="14" t="s">
        <v>4</v>
      </c>
      <c r="R6" s="33"/>
      <c r="S6" s="33"/>
      <c r="T6" s="33"/>
    </row>
    <row r="7" spans="1:20" ht="15.75" thickBot="1" x14ac:dyDescent="0.3">
      <c r="B7" s="72" t="s">
        <v>2</v>
      </c>
      <c r="C7" s="72" t="s">
        <v>1</v>
      </c>
      <c r="D7" s="72"/>
      <c r="E7" s="72" t="s">
        <v>3</v>
      </c>
      <c r="F7" s="78" t="s">
        <v>33</v>
      </c>
      <c r="G7" s="77"/>
      <c r="H7" s="14"/>
      <c r="I7" s="72" t="s">
        <v>2</v>
      </c>
      <c r="J7" s="72" t="s">
        <v>1</v>
      </c>
      <c r="K7" s="72" t="s">
        <v>3</v>
      </c>
      <c r="N7" s="72" t="s">
        <v>2</v>
      </c>
      <c r="O7" s="72" t="s">
        <v>19</v>
      </c>
      <c r="P7" s="72" t="s">
        <v>84</v>
      </c>
      <c r="Q7" s="72" t="s">
        <v>3</v>
      </c>
      <c r="R7" s="33"/>
      <c r="S7" s="33"/>
      <c r="T7" s="33"/>
    </row>
    <row r="8" spans="1:20" x14ac:dyDescent="0.25">
      <c r="D8">
        <f>DATEVALUE("1/1/2000")</f>
        <v>36526</v>
      </c>
      <c r="R8" s="33"/>
      <c r="S8" s="33"/>
      <c r="T8" s="33"/>
    </row>
    <row r="9" spans="1:20" x14ac:dyDescent="0.25">
      <c r="B9" s="122">
        <f>Inputs!B6</f>
        <v>0.04</v>
      </c>
      <c r="C9" s="117">
        <v>1</v>
      </c>
      <c r="D9" s="117">
        <f>DATEVALUE("1/1/2001")</f>
        <v>36892</v>
      </c>
      <c r="E9" s="118">
        <f>DURATION(DATEVALUE("1/1/2000"),DATEVALUE("1/1/2001"),0.04,B9,2)</f>
        <v>0.99019607843137269</v>
      </c>
      <c r="I9" s="122">
        <f>Inputs!B6</f>
        <v>0.04</v>
      </c>
      <c r="J9" s="117">
        <v>5</v>
      </c>
      <c r="K9" s="118">
        <f>'5Y Term Certain'!M3</f>
        <v>2.9216108133707608</v>
      </c>
      <c r="N9" s="122">
        <f>Inputs!B6</f>
        <v>0.04</v>
      </c>
      <c r="O9" s="117">
        <v>55</v>
      </c>
      <c r="P9" s="117">
        <v>0</v>
      </c>
      <c r="Q9" s="118">
        <f>'Annual Single Life 55'!M3</f>
        <v>13.290143232030761</v>
      </c>
      <c r="R9" s="33"/>
      <c r="S9" s="33"/>
      <c r="T9" s="33"/>
    </row>
    <row r="10" spans="1:20" x14ac:dyDescent="0.25">
      <c r="B10" s="124">
        <f>B9</f>
        <v>0.04</v>
      </c>
      <c r="C10" s="77">
        <v>2</v>
      </c>
      <c r="D10" s="73">
        <f>DATEVALUE("1/1/2002")</f>
        <v>37257</v>
      </c>
      <c r="E10" s="119">
        <f>DURATION(DATEVALUE("1/1/2000"),DATEVALUE("1/1/2002"),0.04,B10,2)</f>
        <v>1.9419416363238875</v>
      </c>
      <c r="F10" s="199">
        <f>+E10</f>
        <v>1.9419416363238875</v>
      </c>
      <c r="G10" s="116"/>
      <c r="I10" s="124">
        <f>I9</f>
        <v>0.04</v>
      </c>
      <c r="J10" s="73">
        <v>10</v>
      </c>
      <c r="K10" s="120">
        <f>'10Y Term Certain'!M3</f>
        <v>5.177263917465873</v>
      </c>
      <c r="N10" s="125">
        <f>N9</f>
        <v>0.04</v>
      </c>
      <c r="O10" s="49">
        <v>55</v>
      </c>
      <c r="P10" s="49">
        <v>15</v>
      </c>
      <c r="Q10" s="121">
        <f>'Annual Single Life 55 RP=15'!M3</f>
        <v>13.223399931106323</v>
      </c>
      <c r="R10" s="33"/>
      <c r="S10" s="33"/>
      <c r="T10" s="33"/>
    </row>
    <row r="11" spans="1:20" x14ac:dyDescent="0.25">
      <c r="B11" s="124">
        <f>B10</f>
        <v>0.04</v>
      </c>
      <c r="C11" s="73">
        <v>3</v>
      </c>
      <c r="D11" s="73">
        <f>DATEVALUE("1/1/2003")</f>
        <v>37622</v>
      </c>
      <c r="E11" s="119">
        <f>DURATION(DATEVALUE("1/1/2000"),DATEVALUE("1/1/2003"),0.04,B11,2)</f>
        <v>2.8567297542521026</v>
      </c>
      <c r="I11" s="124">
        <f>I10</f>
        <v>0.04</v>
      </c>
      <c r="J11" s="73">
        <v>15</v>
      </c>
      <c r="K11" s="120">
        <f>'15Y Term Certain '!M3</f>
        <v>7.2720873608850498</v>
      </c>
      <c r="N11" s="122">
        <f t="shared" ref="N11:N35" si="0">N10</f>
        <v>0.04</v>
      </c>
      <c r="O11" s="117">
        <f>O9+5</f>
        <v>60</v>
      </c>
      <c r="P11" s="117">
        <v>0</v>
      </c>
      <c r="Q11" s="118">
        <f>'Annual Single Life 60'!M3</f>
        <v>11.74056510355309</v>
      </c>
      <c r="R11" s="33"/>
      <c r="S11" s="33"/>
      <c r="T11" s="33"/>
    </row>
    <row r="12" spans="1:20" x14ac:dyDescent="0.25">
      <c r="B12" s="124">
        <f t="shared" ref="B12:B15" si="1">B11</f>
        <v>0.04</v>
      </c>
      <c r="C12" s="73">
        <v>4</v>
      </c>
      <c r="D12" s="73">
        <f>DATEVALUE("1/1/2004")</f>
        <v>37987</v>
      </c>
      <c r="E12" s="119">
        <f>DURATION(DATEVALUE("1/1/2000"),DATEVALUE("1/1/2004"),0.04,B12,2)</f>
        <v>3.7359955346521554</v>
      </c>
      <c r="I12" s="125">
        <f>I11</f>
        <v>0.04</v>
      </c>
      <c r="J12" s="49">
        <v>25</v>
      </c>
      <c r="K12" s="121">
        <f>+'25Y Term Certain'!M3</f>
        <v>10.992523258465862</v>
      </c>
      <c r="N12" s="125">
        <f t="shared" si="0"/>
        <v>0.04</v>
      </c>
      <c r="O12" s="49">
        <v>60</v>
      </c>
      <c r="P12" s="49">
        <v>15</v>
      </c>
      <c r="Q12" s="121">
        <f>'Annual Single Life 60 RP=15'!M3</f>
        <v>11.681455777588065</v>
      </c>
      <c r="R12" s="33"/>
      <c r="S12" s="33"/>
      <c r="T12" s="33"/>
    </row>
    <row r="13" spans="1:20" x14ac:dyDescent="0.25">
      <c r="B13" s="126">
        <f t="shared" si="1"/>
        <v>0.04</v>
      </c>
      <c r="C13" s="127">
        <v>5</v>
      </c>
      <c r="D13" s="128">
        <f>DATEVALUE("1/1/2005")</f>
        <v>38353</v>
      </c>
      <c r="E13" s="121">
        <f>DURATION(DATEVALUE("1/1/2000"),DATEVALUE("1/1/2005"),0.04,B13,2)</f>
        <v>4.5811183531835402</v>
      </c>
      <c r="F13" s="199">
        <f>+E13</f>
        <v>4.5811183531835402</v>
      </c>
      <c r="G13" s="116"/>
      <c r="N13" s="122">
        <f t="shared" si="0"/>
        <v>0.04</v>
      </c>
      <c r="O13" s="117">
        <f>O11+5</f>
        <v>65</v>
      </c>
      <c r="P13" s="117">
        <v>0</v>
      </c>
      <c r="Q13" s="118">
        <f>'Annual Single Life 65'!M3</f>
        <v>10.661511460981751</v>
      </c>
      <c r="R13" s="33"/>
      <c r="S13" s="33"/>
      <c r="T13" s="33"/>
    </row>
    <row r="14" spans="1:20" x14ac:dyDescent="0.25">
      <c r="B14" s="129">
        <f t="shared" si="1"/>
        <v>0.04</v>
      </c>
      <c r="C14" s="130">
        <v>6</v>
      </c>
      <c r="D14" s="130">
        <f>DATEVALUE("1/1/2006")</f>
        <v>38718</v>
      </c>
      <c r="E14" s="118">
        <f>DURATION(DATEVALUE("1/1/2000"),DATEVALUE("1/1/2006"),0.04,B14,2)</f>
        <v>5.3934240226677623</v>
      </c>
      <c r="H14" s="33"/>
      <c r="I14" s="161"/>
      <c r="J14" s="73"/>
      <c r="K14" s="162"/>
      <c r="N14" s="125">
        <f t="shared" si="0"/>
        <v>0.04</v>
      </c>
      <c r="O14" s="49">
        <f>O12+5</f>
        <v>65</v>
      </c>
      <c r="P14" s="49">
        <v>15</v>
      </c>
      <c r="Q14" s="121">
        <f>'Annual Single Life 65 RP=15'!M3</f>
        <v>10.644239808275724</v>
      </c>
      <c r="R14" s="33"/>
      <c r="S14" s="33"/>
      <c r="T14" s="33"/>
    </row>
    <row r="15" spans="1:20" x14ac:dyDescent="0.25">
      <c r="B15" s="124">
        <f t="shared" si="1"/>
        <v>0.04</v>
      </c>
      <c r="C15" s="73">
        <v>7</v>
      </c>
      <c r="D15" s="73">
        <f>DATEVALUE("1/1/2007")</f>
        <v>39083</v>
      </c>
      <c r="E15" s="119">
        <f>DURATION(DATEVALUE("1/1/2000"),DATEVALUE("1/1/2007"),0.04,B15,2)</f>
        <v>6.1741868729986189</v>
      </c>
      <c r="H15" s="33"/>
      <c r="I15" s="161"/>
      <c r="J15" s="73"/>
      <c r="K15" s="162"/>
      <c r="N15" s="122">
        <f t="shared" si="0"/>
        <v>0.04</v>
      </c>
      <c r="O15" s="117">
        <f>O13+5</f>
        <v>70</v>
      </c>
      <c r="P15" s="117">
        <v>0</v>
      </c>
      <c r="Q15" s="118">
        <f>'Annual Single Life 70'!M3</f>
        <v>9.2713743057127349</v>
      </c>
      <c r="R15" s="33"/>
      <c r="S15" s="33"/>
      <c r="T15" s="33"/>
    </row>
    <row r="16" spans="1:20" x14ac:dyDescent="0.25">
      <c r="B16" s="124">
        <f t="shared" ref="B16:B38" si="2">B15</f>
        <v>0.04</v>
      </c>
      <c r="C16" s="73">
        <v>8</v>
      </c>
      <c r="D16" s="73">
        <f>DATEVALUE("1/1/2008")</f>
        <v>39448</v>
      </c>
      <c r="E16" s="119">
        <f>DURATION(DATEVALUE("1/1/2000"),DATEVALUE("1/1/2008"),0.04,B16,2)</f>
        <v>6.9246317502870234</v>
      </c>
      <c r="H16" s="33"/>
      <c r="I16" s="161"/>
      <c r="J16" s="73"/>
      <c r="K16" s="162"/>
      <c r="L16" s="27"/>
      <c r="N16" s="125">
        <f t="shared" si="0"/>
        <v>0.04</v>
      </c>
      <c r="O16" s="49">
        <f>O14+5</f>
        <v>70</v>
      </c>
      <c r="P16" s="49">
        <v>15</v>
      </c>
      <c r="Q16" s="121">
        <f>'Annual Single Life 70 RP=15'!M3</f>
        <v>9.3998952011576762</v>
      </c>
      <c r="R16" s="33"/>
      <c r="S16" s="33"/>
      <c r="T16" s="33"/>
    </row>
    <row r="17" spans="2:20" x14ac:dyDescent="0.25">
      <c r="B17" s="124">
        <f t="shared" si="2"/>
        <v>0.04</v>
      </c>
      <c r="C17" s="73">
        <v>9</v>
      </c>
      <c r="D17" s="73">
        <f>DATEVALUE("1/1/2009")</f>
        <v>39814</v>
      </c>
      <c r="E17" s="119">
        <f>DURATION(DATEVALUE("1/1/2000"),DATEVALUE("1/1/2009"),0.04,B17,2)</f>
        <v>7.6459359383766072</v>
      </c>
      <c r="H17" s="33"/>
      <c r="I17" s="161"/>
      <c r="J17" s="73"/>
      <c r="K17" s="162"/>
      <c r="N17" s="122">
        <f t="shared" si="0"/>
        <v>0.04</v>
      </c>
      <c r="O17" s="117">
        <f>O15+5</f>
        <v>75</v>
      </c>
      <c r="P17" s="117">
        <v>0</v>
      </c>
      <c r="Q17" s="118">
        <f>'Annual Single Life 75'!M3</f>
        <v>7.871231511658789</v>
      </c>
      <c r="R17" s="33"/>
      <c r="S17" s="33"/>
      <c r="T17" s="33"/>
    </row>
    <row r="18" spans="2:20" x14ac:dyDescent="0.25">
      <c r="B18" s="126">
        <f t="shared" si="2"/>
        <v>0.04</v>
      </c>
      <c r="C18" s="127">
        <v>10</v>
      </c>
      <c r="D18" s="128">
        <f>DATEVALUE("1/1/2010")</f>
        <v>40179</v>
      </c>
      <c r="E18" s="121">
        <f>DURATION(DATEVALUE("1/1/2000"),DATEVALUE("1/1/2010"),0.04,B18,2)</f>
        <v>8.3392310057445282</v>
      </c>
      <c r="F18" s="199">
        <f>+E18</f>
        <v>8.3392310057445282</v>
      </c>
      <c r="G18" s="116"/>
      <c r="H18" s="33"/>
      <c r="I18" s="33"/>
      <c r="J18" s="33"/>
      <c r="K18" s="33"/>
      <c r="N18" s="123">
        <f t="shared" si="0"/>
        <v>0.04</v>
      </c>
      <c r="O18" s="48">
        <f t="shared" ref="O18" si="3">O16+5</f>
        <v>75</v>
      </c>
      <c r="P18" s="48">
        <v>10</v>
      </c>
      <c r="Q18" s="119">
        <f>'Annual Single Life 75 RP=10'!M3</f>
        <v>7.7926584854110246</v>
      </c>
      <c r="R18" s="33"/>
      <c r="S18" s="33"/>
      <c r="T18" s="33"/>
    </row>
    <row r="19" spans="2:20" x14ac:dyDescent="0.25">
      <c r="B19" s="129">
        <f t="shared" si="2"/>
        <v>0.04</v>
      </c>
      <c r="C19" s="130">
        <v>11</v>
      </c>
      <c r="D19" s="130">
        <f>DATEVALUE("1/1/2011")</f>
        <v>40544</v>
      </c>
      <c r="E19" s="118">
        <f>DURATION(DATEVALUE("1/1/2000"),DATEVALUE("1/1/2011"),0.04,B19,2)</f>
        <v>9.0056045806848619</v>
      </c>
      <c r="H19" s="33"/>
      <c r="I19" s="161"/>
      <c r="J19" s="73"/>
      <c r="K19" s="162"/>
      <c r="N19" s="123">
        <f t="shared" si="0"/>
        <v>0.04</v>
      </c>
      <c r="O19" s="48">
        <v>75</v>
      </c>
      <c r="P19" s="48">
        <v>15</v>
      </c>
      <c r="Q19" s="119">
        <f>'Annual Single Life 75 RP=15'!M3</f>
        <v>8.3484345189098139</v>
      </c>
      <c r="R19" s="33"/>
      <c r="S19" s="33"/>
      <c r="T19" s="33"/>
    </row>
    <row r="20" spans="2:20" x14ac:dyDescent="0.25">
      <c r="B20" s="124">
        <f t="shared" si="2"/>
        <v>0.04</v>
      </c>
      <c r="C20" s="73">
        <v>12</v>
      </c>
      <c r="D20" s="73">
        <f>DATEVALUE("1/1/2012")</f>
        <v>40909</v>
      </c>
      <c r="E20" s="119">
        <f>DURATION(DATEVALUE("1/1/2000"),DATEVALUE("1/1/2012"),0.04,B20,2)</f>
        <v>9.6461020575594567</v>
      </c>
      <c r="H20" s="33"/>
      <c r="I20" s="161"/>
      <c r="J20" s="73"/>
      <c r="K20" s="162"/>
      <c r="N20" s="125">
        <f t="shared" si="0"/>
        <v>0.04</v>
      </c>
      <c r="O20" s="49">
        <v>75</v>
      </c>
      <c r="P20" s="49">
        <v>20</v>
      </c>
      <c r="Q20" s="121">
        <f>'Annual Single Life 75 RP=20'!M3</f>
        <v>9.5139294097976421</v>
      </c>
      <c r="R20" s="33"/>
      <c r="S20" s="33"/>
      <c r="T20" s="33"/>
    </row>
    <row r="21" spans="2:20" x14ac:dyDescent="0.25">
      <c r="B21" s="124">
        <f t="shared" si="2"/>
        <v>0.04</v>
      </c>
      <c r="C21" s="73">
        <v>13</v>
      </c>
      <c r="D21" s="73">
        <f>DATEVALUE("1/1/2013")</f>
        <v>41275</v>
      </c>
      <c r="E21" s="119">
        <f>DURATION(DATEVALUE("1/1/2000"),DATEVALUE("1/1/2013"),0.04,B21,2)</f>
        <v>10.26172823679302</v>
      </c>
      <c r="H21" s="33"/>
      <c r="I21" s="161"/>
      <c r="J21" s="73"/>
      <c r="K21" s="162"/>
      <c r="N21" s="122">
        <f t="shared" si="0"/>
        <v>0.04</v>
      </c>
      <c r="O21" s="117">
        <f>O17+5</f>
        <v>80</v>
      </c>
      <c r="P21" s="117">
        <v>0</v>
      </c>
      <c r="Q21" s="118">
        <f>'Annual Single Life 80'!M3</f>
        <v>6.5096747713148897</v>
      </c>
      <c r="R21" s="33"/>
      <c r="S21" s="33"/>
      <c r="T21" s="33"/>
    </row>
    <row r="22" spans="2:20" x14ac:dyDescent="0.25">
      <c r="B22" s="124">
        <f t="shared" si="2"/>
        <v>0.04</v>
      </c>
      <c r="C22" s="73">
        <v>14</v>
      </c>
      <c r="D22" s="73">
        <f>DATEVALUE("1/1/2014")</f>
        <v>41640</v>
      </c>
      <c r="E22" s="119">
        <f>DURATION(DATEVALUE("1/1/2000"),DATEVALUE("1/1/2014"),0.04,B22,2)</f>
        <v>10.853448901185141</v>
      </c>
      <c r="H22" s="33"/>
      <c r="I22" s="161"/>
      <c r="J22" s="73"/>
      <c r="K22" s="162"/>
      <c r="N22" s="123">
        <f t="shared" si="0"/>
        <v>0.04</v>
      </c>
      <c r="O22" s="48">
        <v>80</v>
      </c>
      <c r="P22" s="48">
        <v>5</v>
      </c>
      <c r="Q22" s="119">
        <f>'Annual Single Life 80 RP=5'!M3</f>
        <v>6.3453858182455134</v>
      </c>
      <c r="R22" s="33"/>
      <c r="S22" s="33"/>
      <c r="T22" s="33"/>
    </row>
    <row r="23" spans="2:20" x14ac:dyDescent="0.25">
      <c r="B23" s="126">
        <f t="shared" si="2"/>
        <v>0.04</v>
      </c>
      <c r="C23" s="128">
        <v>15</v>
      </c>
      <c r="D23" s="128">
        <f>DATEVALUE("1/1/2015")</f>
        <v>42005</v>
      </c>
      <c r="E23" s="121">
        <f>DURATION(DATEVALUE("1/1/2000"),DATEVALUE("1/1/2015"),0.04,B23,2)</f>
        <v>11.422192331012246</v>
      </c>
      <c r="F23" s="27"/>
      <c r="G23" s="27"/>
      <c r="H23" s="33"/>
      <c r="I23" s="33"/>
      <c r="J23" s="33"/>
      <c r="K23" s="33"/>
      <c r="N23" s="123">
        <f t="shared" si="0"/>
        <v>0.04</v>
      </c>
      <c r="O23" s="48">
        <v>80</v>
      </c>
      <c r="P23" s="48">
        <v>10</v>
      </c>
      <c r="Q23" s="119">
        <f>'Annual Single Life 80 RP=10'!M3</f>
        <v>6.5949138747706044</v>
      </c>
      <c r="R23" s="33"/>
      <c r="S23" s="33"/>
      <c r="T23" s="33"/>
    </row>
    <row r="24" spans="2:20" x14ac:dyDescent="0.25">
      <c r="B24" s="129">
        <f t="shared" si="2"/>
        <v>0.04</v>
      </c>
      <c r="C24" s="130">
        <v>16</v>
      </c>
      <c r="D24" s="130">
        <f>DATEVALUE("1/1/2016")</f>
        <v>42370</v>
      </c>
      <c r="E24" s="118">
        <f>DURATION(DATEVALUE("1/1/2000"),DATEVALUE("1/1/2016"),0.04,B24,2)</f>
        <v>11.968850760296275</v>
      </c>
      <c r="H24" s="33"/>
      <c r="I24" s="161"/>
      <c r="J24" s="73"/>
      <c r="K24" s="162"/>
      <c r="N24" s="123">
        <f t="shared" si="0"/>
        <v>0.04</v>
      </c>
      <c r="O24" s="48">
        <v>80</v>
      </c>
      <c r="P24" s="48">
        <v>15</v>
      </c>
      <c r="Q24" s="119">
        <f>'Annual Single Life 80 RP=15'!M3</f>
        <v>7.6667716563040713</v>
      </c>
      <c r="R24" s="33"/>
      <c r="S24" s="33"/>
      <c r="T24" s="33"/>
    </row>
    <row r="25" spans="2:20" x14ac:dyDescent="0.25">
      <c r="B25" s="124">
        <f t="shared" si="2"/>
        <v>0.04</v>
      </c>
      <c r="C25" s="73">
        <v>17</v>
      </c>
      <c r="D25" s="73">
        <f>DATEVALUE("1/1/2017")</f>
        <v>42736</v>
      </c>
      <c r="E25" s="119">
        <f>DURATION(DATEVALUE("1/1/2000"),DATEVALUE("1/1/2017"),0.04,B25,2)</f>
        <v>12.494281776524677</v>
      </c>
      <c r="H25" s="33"/>
      <c r="I25" s="161"/>
      <c r="J25" s="73"/>
      <c r="K25" s="162"/>
      <c r="N25" s="125">
        <f t="shared" si="0"/>
        <v>0.04</v>
      </c>
      <c r="O25" s="49">
        <v>80</v>
      </c>
      <c r="P25" s="49">
        <v>20</v>
      </c>
      <c r="Q25" s="121">
        <f>'Annual Single Life 80 RP=20'!M3</f>
        <v>9.2771125370010115</v>
      </c>
      <c r="R25" s="33"/>
      <c r="S25" s="33"/>
      <c r="T25" s="33"/>
    </row>
    <row r="26" spans="2:20" x14ac:dyDescent="0.25">
      <c r="B26" s="123">
        <f t="shared" si="2"/>
        <v>0.04</v>
      </c>
      <c r="C26" s="48">
        <v>18</v>
      </c>
      <c r="D26" s="48">
        <f>DATEVALUE("1/1/2018")</f>
        <v>43101</v>
      </c>
      <c r="E26" s="119">
        <f>DURATION(DATEVALUE("1/1/2000"),DATEVALUE("1/1/2018"),0.04,B26,2)</f>
        <v>12.999309666017568</v>
      </c>
      <c r="H26" s="33"/>
      <c r="I26" s="161"/>
      <c r="J26" s="73"/>
      <c r="K26" s="162"/>
      <c r="N26" s="122">
        <f t="shared" si="0"/>
        <v>0.04</v>
      </c>
      <c r="O26" s="117">
        <f>O21+5</f>
        <v>85</v>
      </c>
      <c r="P26" s="117">
        <v>0</v>
      </c>
      <c r="Q26" s="118">
        <f>'Annual Single Life 85'!M3</f>
        <v>5.0123793790633515</v>
      </c>
      <c r="R26" s="33"/>
      <c r="S26" s="33"/>
      <c r="T26" s="33"/>
    </row>
    <row r="27" spans="2:20" x14ac:dyDescent="0.25">
      <c r="B27" s="123">
        <f t="shared" si="2"/>
        <v>0.04</v>
      </c>
      <c r="C27" s="48">
        <v>19</v>
      </c>
      <c r="D27" s="48">
        <f>DATEVALUE("1/1/2019")</f>
        <v>43466</v>
      </c>
      <c r="E27" s="119">
        <f>DURATION(DATEVALUE("1/1/2000"),DATEVALUE("1/1/2019"),0.04,B27,2)</f>
        <v>13.484726707052642</v>
      </c>
      <c r="H27" s="33"/>
      <c r="I27" s="161"/>
      <c r="J27" s="73"/>
      <c r="K27" s="162"/>
      <c r="N27" s="123">
        <f t="shared" si="0"/>
        <v>0.04</v>
      </c>
      <c r="O27" s="48">
        <v>85</v>
      </c>
      <c r="P27" s="48">
        <v>5</v>
      </c>
      <c r="Q27" s="119">
        <f>'Annual Single Life 85 RP=5'!M3</f>
        <v>4.8143188160804113</v>
      </c>
      <c r="R27" s="33"/>
      <c r="S27" s="33"/>
      <c r="T27" s="33"/>
    </row>
    <row r="28" spans="2:20" x14ac:dyDescent="0.25">
      <c r="B28" s="125">
        <f t="shared" si="2"/>
        <v>0.04</v>
      </c>
      <c r="C28" s="49">
        <v>20</v>
      </c>
      <c r="D28" s="49">
        <f>DATEVALUE("1/1/2020")</f>
        <v>43831</v>
      </c>
      <c r="E28" s="121">
        <f>DURATION(DATEVALUE("1/1/2000"),DATEVALUE("1/1/2020"),0.04,B28,2)</f>
        <v>13.95129441277647</v>
      </c>
      <c r="F28" s="27"/>
      <c r="G28" s="27"/>
      <c r="H28" s="33"/>
      <c r="I28" s="161"/>
      <c r="J28" s="73"/>
      <c r="K28" s="162"/>
      <c r="N28" s="123">
        <f t="shared" si="0"/>
        <v>0.04</v>
      </c>
      <c r="O28" s="48">
        <v>85</v>
      </c>
      <c r="P28" s="48">
        <v>10</v>
      </c>
      <c r="Q28" s="119">
        <f>'Annual Single Life 85 RP=10'!M3</f>
        <v>5.6452528071398129</v>
      </c>
      <c r="R28" s="33"/>
      <c r="S28" s="33"/>
      <c r="T28" s="33"/>
    </row>
    <row r="29" spans="2:20" x14ac:dyDescent="0.25">
      <c r="B29" s="122">
        <f t="shared" si="2"/>
        <v>0.04</v>
      </c>
      <c r="C29" s="117">
        <v>21</v>
      </c>
      <c r="D29" s="117">
        <f>DATEVALUE("1/1/2021")</f>
        <v>44197</v>
      </c>
      <c r="E29" s="118">
        <f>DURATION(DATEVALUE("1/1/2000"),DATEVALUE("1/1/2021"),0.04,B29,2)</f>
        <v>14.399744725852049</v>
      </c>
      <c r="H29" s="33"/>
      <c r="I29" s="161"/>
      <c r="J29" s="73"/>
      <c r="K29" s="162"/>
      <c r="N29" s="123">
        <f t="shared" si="0"/>
        <v>0.04</v>
      </c>
      <c r="O29" s="48">
        <v>85</v>
      </c>
      <c r="P29" s="48">
        <v>15</v>
      </c>
      <c r="Q29" s="119">
        <f>'Annual Single Life 85 RP=15'!M3</f>
        <v>7.3411615219629933</v>
      </c>
      <c r="R29" s="33"/>
      <c r="S29" s="33"/>
      <c r="T29" s="33"/>
    </row>
    <row r="30" spans="2:20" x14ac:dyDescent="0.25">
      <c r="B30" s="123">
        <f t="shared" si="2"/>
        <v>0.04</v>
      </c>
      <c r="C30" s="48">
        <v>22</v>
      </c>
      <c r="D30" s="48">
        <f>DATEVALUE("1/1/2022")</f>
        <v>44562</v>
      </c>
      <c r="E30" s="119">
        <f>DURATION(DATEVALUE("1/1/2000"),DATEVALUE("1/1/2022"),0.04,B30,2)</f>
        <v>14.830781166716692</v>
      </c>
      <c r="H30" s="33"/>
      <c r="I30" s="161"/>
      <c r="J30" s="73"/>
      <c r="K30" s="162"/>
      <c r="N30" s="125">
        <f t="shared" si="0"/>
        <v>0.04</v>
      </c>
      <c r="O30" s="49">
        <v>85</v>
      </c>
      <c r="P30" s="49">
        <v>20</v>
      </c>
      <c r="Q30" s="121">
        <f>'Annual Single Life 85 RP=20'!M3</f>
        <v>9.2148181589926796</v>
      </c>
      <c r="R30" s="33"/>
      <c r="S30" s="33"/>
      <c r="T30" s="33"/>
    </row>
    <row r="31" spans="2:20" x14ac:dyDescent="0.25">
      <c r="B31" s="123">
        <f t="shared" si="2"/>
        <v>0.04</v>
      </c>
      <c r="C31" s="48">
        <v>23</v>
      </c>
      <c r="D31" s="48">
        <f>DATEVALUE("1/1/2023")</f>
        <v>44927</v>
      </c>
      <c r="E31" s="119">
        <f>DURATION(DATEVALUE("1/1/2000"),DATEVALUE("1/1/2023"),0.04,B31,2)</f>
        <v>15.245079937251724</v>
      </c>
      <c r="H31" s="33"/>
      <c r="I31" s="163"/>
      <c r="J31" s="48"/>
      <c r="K31" s="164"/>
      <c r="N31" s="122">
        <f t="shared" si="0"/>
        <v>0.04</v>
      </c>
      <c r="O31" s="117">
        <v>91</v>
      </c>
      <c r="P31" s="117">
        <v>0</v>
      </c>
      <c r="Q31" s="118">
        <f>'Annual Single Life 91'!M3</f>
        <v>3.9767547249140267</v>
      </c>
      <c r="R31" s="33"/>
      <c r="S31" s="33"/>
      <c r="T31" s="33"/>
    </row>
    <row r="32" spans="2:20" x14ac:dyDescent="0.25">
      <c r="B32" s="123">
        <f t="shared" si="2"/>
        <v>0.04</v>
      </c>
      <c r="C32" s="48">
        <v>24</v>
      </c>
      <c r="D32" s="48">
        <f>DATEVALUE("1/1/2024")</f>
        <v>45292</v>
      </c>
      <c r="E32" s="119">
        <f>DURATION(DATEVALUE("1/1/2000"),DATEVALUE("1/1/2024"),0.04,B32,2)</f>
        <v>15.643290981595277</v>
      </c>
      <c r="H32" s="33"/>
      <c r="I32" s="163"/>
      <c r="J32" s="48"/>
      <c r="K32" s="164"/>
      <c r="N32" s="123">
        <f t="shared" si="0"/>
        <v>0.04</v>
      </c>
      <c r="O32" s="48">
        <v>91</v>
      </c>
      <c r="P32" s="48">
        <v>5</v>
      </c>
      <c r="Q32" s="119">
        <f>'Annual Single Life 91 RP=5'!M3</f>
        <v>3.8617028877667976</v>
      </c>
      <c r="R32" s="33"/>
      <c r="S32" s="33"/>
      <c r="T32" s="33"/>
    </row>
    <row r="33" spans="2:20" x14ac:dyDescent="0.25">
      <c r="B33" s="125">
        <f t="shared" si="2"/>
        <v>0.04</v>
      </c>
      <c r="C33" s="49">
        <v>25</v>
      </c>
      <c r="D33" s="49">
        <f>DATEVALUE("1/1/2025")</f>
        <v>45658</v>
      </c>
      <c r="E33" s="121">
        <f>DURATION(DATEVALUE("1/1/2000"),DATEVALUE("1/1/2025"),0.04,B33,2)</f>
        <v>16.026039005762474</v>
      </c>
      <c r="N33" s="123">
        <f t="shared" si="0"/>
        <v>0.04</v>
      </c>
      <c r="O33" s="48">
        <v>91</v>
      </c>
      <c r="P33" s="48">
        <v>10</v>
      </c>
      <c r="Q33" s="119">
        <f>'Annual Single Life 91 RP=10'!M3</f>
        <v>5.3067242493717464</v>
      </c>
      <c r="R33" s="33"/>
      <c r="S33" s="33"/>
      <c r="T33" s="33"/>
    </row>
    <row r="34" spans="2:20" x14ac:dyDescent="0.25">
      <c r="B34" s="122">
        <f t="shared" si="2"/>
        <v>0.04</v>
      </c>
      <c r="C34" s="117">
        <v>26</v>
      </c>
      <c r="D34" s="117">
        <f>DATEVALUE("1/1/2026")</f>
        <v>46023</v>
      </c>
      <c r="E34" s="119">
        <f>DURATION(DATEVALUE("1/1/2000"),DATEVALUE("1/1/2026"),0.04,B34,2)</f>
        <v>16.393924457672505</v>
      </c>
      <c r="F34" s="35"/>
      <c r="G34" s="35"/>
      <c r="N34" s="123">
        <f t="shared" si="0"/>
        <v>0.04</v>
      </c>
      <c r="O34" s="48">
        <v>91</v>
      </c>
      <c r="P34" s="48">
        <v>15</v>
      </c>
      <c r="Q34" s="119">
        <f>'Annual Single Life 91 RP=15'!M3</f>
        <v>7.2823579033164467</v>
      </c>
      <c r="R34" s="33"/>
      <c r="S34" s="33"/>
      <c r="T34" s="33"/>
    </row>
    <row r="35" spans="2:20" x14ac:dyDescent="0.25">
      <c r="B35" s="123">
        <f t="shared" si="2"/>
        <v>0.04</v>
      </c>
      <c r="C35" s="48">
        <v>27</v>
      </c>
      <c r="D35" s="48">
        <f>DATEVALUE("1/1/2027")</f>
        <v>46388</v>
      </c>
      <c r="E35" s="119">
        <f>DURATION(DATEVALUE("1/1/2000"),DATEVALUE("1/1/2027"),0.04,B35,2)</f>
        <v>16.747524469120055</v>
      </c>
      <c r="F35" s="35"/>
      <c r="G35" s="35"/>
      <c r="N35" s="125">
        <f t="shared" si="0"/>
        <v>0.04</v>
      </c>
      <c r="O35" s="49">
        <v>91</v>
      </c>
      <c r="P35" s="49">
        <v>20</v>
      </c>
      <c r="Q35" s="121">
        <f>'Annual Single Life 91 RP=20'!M3</f>
        <v>9.2098179274162035</v>
      </c>
      <c r="R35" s="33"/>
      <c r="S35" s="33"/>
      <c r="T35" s="33"/>
    </row>
    <row r="36" spans="2:20" x14ac:dyDescent="0.25">
      <c r="B36" s="123">
        <f t="shared" si="2"/>
        <v>0.04</v>
      </c>
      <c r="C36" s="48">
        <v>28</v>
      </c>
      <c r="D36" s="48">
        <f>DATEVALUE("1/1/2028")</f>
        <v>46753</v>
      </c>
      <c r="E36" s="119">
        <f>DURATION(DATEVALUE("1/1/2000"),DATEVALUE("1/1/2028"),0.04,B36,2)</f>
        <v>17.087393761168833</v>
      </c>
      <c r="F36" s="35"/>
      <c r="G36" s="35"/>
      <c r="I36" s="35"/>
      <c r="R36" s="33"/>
      <c r="S36" s="33"/>
      <c r="T36" s="33"/>
    </row>
    <row r="37" spans="2:20" x14ac:dyDescent="0.25">
      <c r="B37" s="123">
        <f t="shared" si="2"/>
        <v>0.04</v>
      </c>
      <c r="C37" s="48">
        <v>29</v>
      </c>
      <c r="D37" s="48">
        <f>DATEVALUE("1/1/2029")</f>
        <v>47119</v>
      </c>
      <c r="E37" s="119">
        <f>DURATION(DATEVALUE("1/1/2000"),DATEVALUE("1/1/2029"),0.04,B37,2)</f>
        <v>17.414065514387577</v>
      </c>
      <c r="F37" s="35"/>
      <c r="G37" s="35"/>
      <c r="H37" s="35"/>
      <c r="R37" s="33"/>
      <c r="S37" s="33"/>
      <c r="T37" s="33"/>
    </row>
    <row r="38" spans="2:20" x14ac:dyDescent="0.25">
      <c r="B38" s="125">
        <f t="shared" si="2"/>
        <v>0.04</v>
      </c>
      <c r="C38" s="131">
        <v>30</v>
      </c>
      <c r="D38" s="49">
        <f>DATEVALUE("1/1/2030")</f>
        <v>47484</v>
      </c>
      <c r="E38" s="121">
        <f>DURATION(DATEVALUE("1/1/2000"),DATEVALUE("1/1/2030"),0.04,B38,2)</f>
        <v>17.728052205293707</v>
      </c>
      <c r="F38" s="199">
        <f>+E38</f>
        <v>17.728052205293707</v>
      </c>
      <c r="G38" s="116"/>
      <c r="H38" s="35"/>
      <c r="I38" s="35"/>
      <c r="N38" s="24"/>
      <c r="R38" s="33"/>
      <c r="S38" s="33"/>
      <c r="T38" s="33"/>
    </row>
    <row r="39" spans="2:20" x14ac:dyDescent="0.25">
      <c r="H39" s="35"/>
      <c r="I39" s="35"/>
      <c r="R39" s="33"/>
      <c r="S39" s="33"/>
      <c r="T39" s="33"/>
    </row>
    <row r="40" spans="2:20" x14ac:dyDescent="0.25">
      <c r="B40" s="35"/>
      <c r="C40" s="35"/>
      <c r="D40" s="35"/>
      <c r="E40" s="35"/>
      <c r="F40" s="35"/>
      <c r="G40" s="35"/>
      <c r="H40" s="35"/>
      <c r="I40" s="35"/>
      <c r="R40" s="33"/>
      <c r="S40" s="33"/>
      <c r="T40" s="33"/>
    </row>
    <row r="41" spans="2:20" x14ac:dyDescent="0.25">
      <c r="B41" s="35"/>
      <c r="C41" s="35"/>
      <c r="D41" s="35"/>
      <c r="E41" s="35"/>
      <c r="F41" s="35"/>
      <c r="G41" s="35"/>
      <c r="H41" s="35"/>
      <c r="I41" s="35"/>
      <c r="R41" s="33"/>
      <c r="S41" s="33"/>
      <c r="T41" s="33"/>
    </row>
    <row r="42" spans="2:20" x14ac:dyDescent="0.25">
      <c r="B42" s="35"/>
      <c r="C42" s="35"/>
      <c r="D42" s="35"/>
      <c r="E42" s="35"/>
      <c r="F42" s="35"/>
      <c r="G42" s="35"/>
      <c r="H42" s="35"/>
      <c r="I42" s="35"/>
      <c r="S42" s="33"/>
      <c r="T42" s="33"/>
    </row>
    <row r="43" spans="2:20" x14ac:dyDescent="0.25">
      <c r="B43" s="35"/>
      <c r="C43" s="35"/>
      <c r="D43" s="35"/>
      <c r="E43" s="35"/>
      <c r="F43" s="35"/>
      <c r="G43" s="35"/>
      <c r="H43" s="35"/>
      <c r="I43" s="35"/>
      <c r="R43" s="68"/>
      <c r="S43" s="33"/>
      <c r="T43" s="33"/>
    </row>
    <row r="44" spans="2:20" x14ac:dyDescent="0.25">
      <c r="B44" s="35"/>
      <c r="C44" s="35"/>
      <c r="D44" s="35"/>
      <c r="E44" s="35"/>
      <c r="F44" s="35"/>
      <c r="G44" s="35"/>
      <c r="H44" s="35"/>
      <c r="I44" s="35"/>
      <c r="R44" s="68"/>
      <c r="S44" s="33"/>
      <c r="T44" s="33"/>
    </row>
    <row r="45" spans="2:20" x14ac:dyDescent="0.25">
      <c r="B45" s="35"/>
      <c r="C45" s="35"/>
      <c r="D45" s="35"/>
      <c r="E45" s="35"/>
      <c r="F45" s="35"/>
      <c r="G45" s="35"/>
      <c r="H45" s="35"/>
      <c r="I45" s="35"/>
      <c r="R45" s="68"/>
      <c r="S45" s="33"/>
      <c r="T45" s="33"/>
    </row>
    <row r="46" spans="2:20" x14ac:dyDescent="0.25">
      <c r="B46" s="35"/>
      <c r="C46" s="35"/>
      <c r="D46" s="35"/>
      <c r="E46" s="35"/>
      <c r="F46" s="35"/>
      <c r="G46" s="35"/>
      <c r="H46" s="35"/>
      <c r="I46" s="35"/>
      <c r="R46" s="68"/>
      <c r="S46" s="33"/>
      <c r="T46" s="33"/>
    </row>
    <row r="47" spans="2:20" x14ac:dyDescent="0.25">
      <c r="B47" s="35"/>
      <c r="C47" s="35"/>
      <c r="D47" s="35"/>
      <c r="E47" s="35"/>
      <c r="F47" s="35"/>
      <c r="G47" s="35"/>
      <c r="H47" s="35"/>
      <c r="I47" s="35"/>
      <c r="R47" s="68"/>
      <c r="S47" s="33"/>
      <c r="T47" s="33"/>
    </row>
    <row r="48" spans="2:20" x14ac:dyDescent="0.25">
      <c r="B48" s="35"/>
      <c r="C48" s="35"/>
      <c r="D48" s="35"/>
      <c r="E48" s="35"/>
      <c r="F48" s="35"/>
      <c r="G48" s="35"/>
      <c r="H48" s="35"/>
      <c r="I48" s="35"/>
    </row>
    <row r="49" spans="2:12" x14ac:dyDescent="0.25">
      <c r="H49" s="35"/>
      <c r="I49" s="35"/>
    </row>
    <row r="50" spans="2:12" x14ac:dyDescent="0.25">
      <c r="B50" s="35"/>
      <c r="C50" s="35"/>
      <c r="D50" s="35"/>
      <c r="E50" s="35"/>
      <c r="F50" s="35"/>
      <c r="G50" s="35"/>
      <c r="H50" s="35"/>
      <c r="I50" s="35"/>
    </row>
    <row r="51" spans="2:12" x14ac:dyDescent="0.25">
      <c r="B51" s="35"/>
      <c r="C51" s="35"/>
      <c r="D51" s="35"/>
      <c r="E51" s="35"/>
      <c r="F51" s="35"/>
      <c r="G51" s="35"/>
      <c r="H51" s="35"/>
      <c r="I51" s="35"/>
    </row>
    <row r="52" spans="2:12" x14ac:dyDescent="0.25">
      <c r="B52" s="35"/>
      <c r="C52" s="35"/>
      <c r="D52" s="35"/>
      <c r="E52" s="35"/>
      <c r="F52" s="35"/>
      <c r="G52" s="35"/>
      <c r="H52" s="35"/>
      <c r="I52" s="35"/>
    </row>
    <row r="53" spans="2:12" x14ac:dyDescent="0.25">
      <c r="H53" s="35"/>
      <c r="I53" s="35"/>
    </row>
    <row r="54" spans="2:12" x14ac:dyDescent="0.25">
      <c r="B54" s="35"/>
      <c r="C54" s="35"/>
      <c r="D54" s="35"/>
      <c r="E54" s="35"/>
      <c r="F54" s="35"/>
      <c r="G54" s="35"/>
      <c r="H54" s="35"/>
      <c r="I54" s="35"/>
      <c r="J54" s="35"/>
      <c r="K54" s="35"/>
      <c r="L54" s="35"/>
    </row>
    <row r="55" spans="2:12" x14ac:dyDescent="0.25">
      <c r="B55" s="35"/>
      <c r="C55" s="35"/>
      <c r="D55" s="35"/>
      <c r="E55" s="35"/>
      <c r="F55" s="35"/>
      <c r="G55" s="35"/>
      <c r="H55" s="35"/>
      <c r="I55" s="35"/>
    </row>
    <row r="56" spans="2:12" x14ac:dyDescent="0.25">
      <c r="B56" s="35"/>
      <c r="C56" s="35"/>
      <c r="D56" s="35"/>
      <c r="E56" s="35"/>
      <c r="F56" s="35"/>
      <c r="G56" s="35"/>
      <c r="H56" s="35"/>
      <c r="I56" s="35"/>
    </row>
    <row r="57" spans="2:12" x14ac:dyDescent="0.25">
      <c r="B57" s="35"/>
      <c r="C57" s="35"/>
      <c r="D57" s="35"/>
      <c r="E57" s="35"/>
      <c r="F57" s="35"/>
      <c r="G57" s="35"/>
      <c r="H57" s="35"/>
      <c r="I57" s="35"/>
    </row>
    <row r="58" spans="2:12" x14ac:dyDescent="0.25">
      <c r="B58" s="35"/>
      <c r="C58" s="35"/>
      <c r="D58" s="35"/>
      <c r="E58" s="35"/>
      <c r="F58" s="35"/>
      <c r="G58" s="35"/>
      <c r="H58" s="35"/>
      <c r="I58" s="35"/>
    </row>
  </sheetData>
  <hyperlinks>
    <hyperlink ref="A2" location="'Read Me'!A1" display="Return to 'Read Me'"/>
    <hyperlink ref="A3" location="Summary!A1" display="Return to 'Summary'"/>
  </hyperlinks>
  <pageMargins left="0" right="0" top="0.75" bottom="0.75" header="0.3" footer="0.3"/>
  <pageSetup scale="53" orientation="landscape" r:id="rId1"/>
  <headerFooter>
    <oddFooter>&amp;Z&amp;F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19" workbookViewId="0">
      <selection activeCell="A45" sqref="A45:C52"/>
    </sheetView>
  </sheetViews>
  <sheetFormatPr defaultRowHeight="15" x14ac:dyDescent="0.25"/>
  <cols>
    <col min="5" max="5" width="10" customWidth="1"/>
    <col min="6" max="6" width="5.25" customWidth="1"/>
    <col min="9" max="9" width="9.75" bestFit="1" customWidth="1"/>
    <col min="13" max="13" width="9.25" customWidth="1"/>
    <col min="14" max="14" width="12" customWidth="1"/>
    <col min="15" max="15" width="9.25" customWidth="1"/>
    <col min="17" max="17" width="5.875" customWidth="1"/>
  </cols>
  <sheetData>
    <row r="1" spans="1:17" ht="21" x14ac:dyDescent="0.35">
      <c r="A1" s="2" t="s">
        <v>109</v>
      </c>
    </row>
    <row r="2" spans="1:17" ht="15" customHeight="1" x14ac:dyDescent="0.25">
      <c r="A2" s="181" t="s">
        <v>173</v>
      </c>
    </row>
    <row r="3" spans="1:17" ht="15" customHeight="1" x14ac:dyDescent="0.25">
      <c r="A3" s="166" t="s">
        <v>174</v>
      </c>
    </row>
    <row r="4" spans="1:17" ht="19.5" thickBot="1" x14ac:dyDescent="0.35">
      <c r="M4" s="26" t="s">
        <v>134</v>
      </c>
    </row>
    <row r="5" spans="1:17" ht="15.75" x14ac:dyDescent="0.25">
      <c r="A5" s="142" t="s">
        <v>112</v>
      </c>
      <c r="M5" s="200" t="s">
        <v>232</v>
      </c>
      <c r="N5" s="201"/>
      <c r="O5" s="201"/>
      <c r="P5" s="201"/>
      <c r="Q5" s="202"/>
    </row>
    <row r="6" spans="1:17" x14ac:dyDescent="0.25">
      <c r="A6" s="180" t="s">
        <v>171</v>
      </c>
      <c r="M6" s="104"/>
      <c r="N6" s="168" t="s">
        <v>166</v>
      </c>
      <c r="O6" s="168" t="s">
        <v>160</v>
      </c>
      <c r="P6" s="168" t="s">
        <v>160</v>
      </c>
      <c r="Q6" s="203"/>
    </row>
    <row r="7" spans="1:17" ht="15.75" thickBot="1" x14ac:dyDescent="0.3">
      <c r="A7" s="29"/>
      <c r="M7" s="176" t="s">
        <v>2</v>
      </c>
      <c r="N7" s="167" t="s">
        <v>167</v>
      </c>
      <c r="O7" s="167" t="s">
        <v>168</v>
      </c>
      <c r="P7" s="167" t="s">
        <v>169</v>
      </c>
      <c r="Q7" s="203"/>
    </row>
    <row r="8" spans="1:17" ht="15.75" thickBot="1" x14ac:dyDescent="0.3">
      <c r="B8" t="s">
        <v>113</v>
      </c>
      <c r="G8" t="s">
        <v>117</v>
      </c>
      <c r="M8" s="188">
        <f>Inputs!B6</f>
        <v>0.04</v>
      </c>
      <c r="N8" s="189">
        <f>Inputs!C6</f>
        <v>1</v>
      </c>
      <c r="O8" s="189">
        <f>Inputs!D6</f>
        <v>1</v>
      </c>
      <c r="P8" s="189">
        <f>Inputs!E6</f>
        <v>0</v>
      </c>
      <c r="Q8" s="203"/>
    </row>
    <row r="9" spans="1:17" x14ac:dyDescent="0.25">
      <c r="M9" s="104"/>
      <c r="N9" s="33"/>
      <c r="O9" s="33"/>
      <c r="P9" s="33"/>
      <c r="Q9" s="203"/>
    </row>
    <row r="10" spans="1:17" x14ac:dyDescent="0.25">
      <c r="B10" s="1"/>
      <c r="C10" s="145" t="s">
        <v>114</v>
      </c>
      <c r="D10" s="145" t="s">
        <v>116</v>
      </c>
      <c r="G10" s="1"/>
      <c r="H10" s="145" t="s">
        <v>114</v>
      </c>
      <c r="I10" s="145" t="s">
        <v>116</v>
      </c>
      <c r="M10" s="204"/>
      <c r="N10" s="168" t="s">
        <v>114</v>
      </c>
      <c r="O10" s="168" t="s">
        <v>116</v>
      </c>
      <c r="P10" s="33"/>
      <c r="Q10" s="203"/>
    </row>
    <row r="11" spans="1:17" ht="15.75" thickBot="1" x14ac:dyDescent="0.3">
      <c r="B11" s="1" t="s">
        <v>115</v>
      </c>
      <c r="C11" s="145" t="s">
        <v>3</v>
      </c>
      <c r="D11" s="145" t="s">
        <v>3</v>
      </c>
      <c r="G11" s="1" t="s">
        <v>115</v>
      </c>
      <c r="H11" s="145" t="s">
        <v>3</v>
      </c>
      <c r="I11" s="145" t="s">
        <v>3</v>
      </c>
      <c r="M11" s="204" t="s">
        <v>115</v>
      </c>
      <c r="N11" s="168" t="s">
        <v>3</v>
      </c>
      <c r="O11" s="168" t="s">
        <v>3</v>
      </c>
      <c r="P11" s="33"/>
      <c r="Q11" s="203"/>
    </row>
    <row r="12" spans="1:17" x14ac:dyDescent="0.25">
      <c r="B12" s="145" t="s">
        <v>27</v>
      </c>
      <c r="C12" s="143">
        <v>3.7020626625843014</v>
      </c>
      <c r="D12" s="144">
        <v>3.6627465365999941</v>
      </c>
      <c r="G12" s="145" t="s">
        <v>27</v>
      </c>
      <c r="H12" s="143">
        <v>3.4806364719049445</v>
      </c>
      <c r="I12" s="100">
        <v>3.6102699879049331</v>
      </c>
      <c r="M12" s="175" t="s">
        <v>27</v>
      </c>
      <c r="N12" s="143">
        <f>Summary!B16</f>
        <v>3.5866894753505285</v>
      </c>
      <c r="O12" s="144">
        <f>Summary!D16</f>
        <v>3.6373412600098125</v>
      </c>
      <c r="P12" s="33"/>
      <c r="Q12" s="203"/>
    </row>
    <row r="13" spans="1:17" x14ac:dyDescent="0.25">
      <c r="B13" s="145" t="s">
        <v>26</v>
      </c>
      <c r="C13" s="106">
        <v>6.0381650840988499</v>
      </c>
      <c r="D13" s="101">
        <v>5.9346029586631861</v>
      </c>
      <c r="G13" s="145" t="s">
        <v>26</v>
      </c>
      <c r="H13" s="106">
        <v>5.4469096086140132</v>
      </c>
      <c r="I13" s="101">
        <v>5.5828209554313606</v>
      </c>
      <c r="M13" s="175" t="s">
        <v>26</v>
      </c>
      <c r="N13" s="106">
        <f>Summary!B17</f>
        <v>5.7284556262972073</v>
      </c>
      <c r="O13" s="101">
        <f>Summary!D17</f>
        <v>5.7620514591274983</v>
      </c>
      <c r="P13" s="33"/>
      <c r="Q13" s="203"/>
    </row>
    <row r="14" spans="1:17" x14ac:dyDescent="0.25">
      <c r="B14" s="145" t="s">
        <v>25</v>
      </c>
      <c r="C14" s="106">
        <v>8.9798734983221404</v>
      </c>
      <c r="D14" s="101">
        <v>9.0221475263325175</v>
      </c>
      <c r="G14" s="145" t="s">
        <v>25</v>
      </c>
      <c r="H14" s="106">
        <v>7.7382568172549178</v>
      </c>
      <c r="I14" s="101">
        <v>7.9755571228295397</v>
      </c>
      <c r="M14" s="175" t="s">
        <v>25</v>
      </c>
      <c r="N14" s="106">
        <f>Summary!B18</f>
        <v>8.3259468972891799</v>
      </c>
      <c r="O14" s="101">
        <f>Summary!D18</f>
        <v>8.5057793097290713</v>
      </c>
      <c r="P14" s="33"/>
      <c r="Q14" s="203"/>
    </row>
    <row r="15" spans="1:17" ht="15.75" thickBot="1" x14ac:dyDescent="0.3">
      <c r="B15" s="145" t="s">
        <v>32</v>
      </c>
      <c r="C15" s="107">
        <v>13.203445633567307</v>
      </c>
      <c r="D15" s="102">
        <v>12.925380239607991</v>
      </c>
      <c r="G15" s="145" t="s">
        <v>32</v>
      </c>
      <c r="H15" s="107">
        <v>10.487844797887982</v>
      </c>
      <c r="I15" s="102">
        <v>10.788478490099468</v>
      </c>
      <c r="M15" s="176" t="s">
        <v>32</v>
      </c>
      <c r="N15" s="107">
        <f>Summary!B19</f>
        <v>11.747691224571653</v>
      </c>
      <c r="O15" s="101">
        <f>Summary!D19</f>
        <v>11.868524811814527</v>
      </c>
      <c r="P15" s="205"/>
      <c r="Q15" s="206"/>
    </row>
    <row r="17" spans="1:13" x14ac:dyDescent="0.25">
      <c r="B17" t="s">
        <v>118</v>
      </c>
      <c r="G17" t="s">
        <v>118</v>
      </c>
    </row>
    <row r="18" spans="1:13" x14ac:dyDescent="0.25">
      <c r="B18" s="24"/>
      <c r="C18" s="24"/>
      <c r="D18" s="24"/>
      <c r="E18" s="146"/>
      <c r="F18" s="24"/>
    </row>
    <row r="19" spans="1:13" ht="15.75" x14ac:dyDescent="0.25">
      <c r="A19" s="142" t="s">
        <v>119</v>
      </c>
      <c r="B19" s="24"/>
      <c r="C19" s="24"/>
      <c r="D19" s="24"/>
      <c r="E19" s="146"/>
      <c r="F19" s="24"/>
    </row>
    <row r="20" spans="1:13" x14ac:dyDescent="0.25">
      <c r="A20" s="1" t="s">
        <v>233</v>
      </c>
    </row>
    <row r="21" spans="1:13" x14ac:dyDescent="0.25">
      <c r="A21" s="1"/>
    </row>
    <row r="22" spans="1:13" x14ac:dyDescent="0.25">
      <c r="B22" t="s">
        <v>120</v>
      </c>
      <c r="G22" t="s">
        <v>121</v>
      </c>
    </row>
    <row r="24" spans="1:13" x14ac:dyDescent="0.25">
      <c r="B24" s="1"/>
      <c r="C24" s="145" t="s">
        <v>114</v>
      </c>
      <c r="D24" s="145" t="s">
        <v>116</v>
      </c>
      <c r="G24" s="1"/>
      <c r="H24" s="145" t="s">
        <v>114</v>
      </c>
      <c r="I24" s="145" t="s">
        <v>116</v>
      </c>
    </row>
    <row r="25" spans="1:13" ht="15.75" thickBot="1" x14ac:dyDescent="0.3">
      <c r="B25" s="1" t="s">
        <v>115</v>
      </c>
      <c r="C25" s="145" t="s">
        <v>3</v>
      </c>
      <c r="D25" s="145" t="s">
        <v>3</v>
      </c>
      <c r="G25" s="1" t="s">
        <v>115</v>
      </c>
      <c r="H25" s="145" t="s">
        <v>3</v>
      </c>
      <c r="I25" s="145" t="s">
        <v>3</v>
      </c>
    </row>
    <row r="26" spans="1:13" x14ac:dyDescent="0.25">
      <c r="B26" s="145" t="s">
        <v>27</v>
      </c>
      <c r="C26" s="143">
        <v>3.4591612967393144</v>
      </c>
      <c r="D26" s="144">
        <v>3.6373412600098125</v>
      </c>
      <c r="G26" s="145" t="s">
        <v>27</v>
      </c>
      <c r="H26" s="143">
        <v>3.7383031566700762</v>
      </c>
      <c r="I26" s="144">
        <v>3.6373412600098125</v>
      </c>
    </row>
    <row r="27" spans="1:13" x14ac:dyDescent="0.25">
      <c r="B27" s="145" t="s">
        <v>26</v>
      </c>
      <c r="C27" s="106">
        <v>5.5525910600814283</v>
      </c>
      <c r="D27" s="101">
        <v>5.7620514591274983</v>
      </c>
      <c r="G27" s="145" t="s">
        <v>26</v>
      </c>
      <c r="H27" s="106">
        <v>5.9330659405070065</v>
      </c>
      <c r="I27" s="101">
        <v>5.7620514591274983</v>
      </c>
    </row>
    <row r="28" spans="1:13" x14ac:dyDescent="0.25">
      <c r="B28" s="145" t="s">
        <v>25</v>
      </c>
      <c r="C28" s="106">
        <v>8.1463128798009041</v>
      </c>
      <c r="D28" s="101">
        <v>8.5057793097290713</v>
      </c>
      <c r="G28" s="145" t="s">
        <v>25</v>
      </c>
      <c r="H28" s="106">
        <v>8.5313321750113484</v>
      </c>
      <c r="I28" s="101">
        <v>8.5057793097290713</v>
      </c>
    </row>
    <row r="29" spans="1:13" ht="15.75" thickBot="1" x14ac:dyDescent="0.3">
      <c r="B29" s="145" t="s">
        <v>32</v>
      </c>
      <c r="C29" s="107">
        <v>11.548659299362887</v>
      </c>
      <c r="D29" s="102">
        <v>11.868524811814527</v>
      </c>
      <c r="G29" s="145" t="s">
        <v>32</v>
      </c>
      <c r="H29" s="107">
        <v>11.968707111061194</v>
      </c>
      <c r="I29" s="102">
        <v>11.868524811814527</v>
      </c>
    </row>
    <row r="31" spans="1:13" ht="15.75" customHeight="1" x14ac:dyDescent="0.25">
      <c r="B31" t="s">
        <v>118</v>
      </c>
      <c r="G31" t="s">
        <v>118</v>
      </c>
      <c r="M31" s="74"/>
    </row>
    <row r="33" spans="1:9" ht="15.75" x14ac:dyDescent="0.25">
      <c r="A33" s="142" t="s">
        <v>122</v>
      </c>
    </row>
    <row r="34" spans="1:9" x14ac:dyDescent="0.25">
      <c r="E34" s="145" t="s">
        <v>103</v>
      </c>
      <c r="G34" s="145" t="s">
        <v>59</v>
      </c>
    </row>
    <row r="35" spans="1:9" x14ac:dyDescent="0.25">
      <c r="C35" t="s">
        <v>24</v>
      </c>
      <c r="D35" t="s">
        <v>83</v>
      </c>
      <c r="E35" s="145" t="s">
        <v>4</v>
      </c>
      <c r="G35" s="145" t="s">
        <v>4</v>
      </c>
    </row>
    <row r="36" spans="1:9" x14ac:dyDescent="0.25">
      <c r="B36" t="s">
        <v>2</v>
      </c>
      <c r="C36" t="s">
        <v>19</v>
      </c>
      <c r="D36" t="s">
        <v>84</v>
      </c>
      <c r="E36" s="145" t="s">
        <v>3</v>
      </c>
      <c r="G36" s="145" t="s">
        <v>3</v>
      </c>
    </row>
    <row r="38" spans="1:9" x14ac:dyDescent="0.25">
      <c r="B38" s="122">
        <f>Inputs!B6</f>
        <v>0.04</v>
      </c>
      <c r="C38" s="117">
        <v>55</v>
      </c>
      <c r="D38" s="117">
        <v>0</v>
      </c>
      <c r="E38" s="152">
        <f>'Asset and Liability Durations'!Q9</f>
        <v>13.290143232030761</v>
      </c>
      <c r="F38" s="34"/>
      <c r="G38" s="148">
        <f>'Joint Life 55'!R3</f>
        <v>14.573453836640025</v>
      </c>
    </row>
    <row r="39" spans="1:9" x14ac:dyDescent="0.25">
      <c r="B39" s="123">
        <f>Inputs!B6</f>
        <v>0.04</v>
      </c>
      <c r="C39" s="48">
        <v>55</v>
      </c>
      <c r="D39" s="48">
        <v>15</v>
      </c>
      <c r="E39" s="153">
        <f>'Asset and Liability Durations'!Q10</f>
        <v>13.223399931106323</v>
      </c>
      <c r="F39" s="33"/>
      <c r="G39" s="149">
        <f>'Joint Life 55 RP = 15'!R3</f>
        <v>14.570449872286655</v>
      </c>
      <c r="I39" s="147"/>
    </row>
    <row r="40" spans="1:9" x14ac:dyDescent="0.25">
      <c r="B40" s="125">
        <f>Inputs!B6</f>
        <v>0.04</v>
      </c>
      <c r="C40" s="49">
        <v>91</v>
      </c>
      <c r="D40" s="49">
        <v>0</v>
      </c>
      <c r="E40" s="154">
        <f>'Asset and Liability Durations'!Q31</f>
        <v>3.9767547249140267</v>
      </c>
      <c r="F40" s="150"/>
      <c r="G40" s="151">
        <f>'Joint Life 91'!R3</f>
        <v>4.471404956996242</v>
      </c>
    </row>
    <row r="42" spans="1:9" x14ac:dyDescent="0.25">
      <c r="B42" t="s">
        <v>158</v>
      </c>
    </row>
    <row r="45" spans="1:9" x14ac:dyDescent="0.25">
      <c r="B45" s="35"/>
      <c r="C45" s="35"/>
    </row>
    <row r="46" spans="1:9" x14ac:dyDescent="0.25">
      <c r="B46" s="35"/>
      <c r="C46" s="35"/>
    </row>
    <row r="47" spans="1:9" x14ac:dyDescent="0.25">
      <c r="B47" s="35"/>
      <c r="C47" s="35"/>
    </row>
    <row r="48" spans="1:9" x14ac:dyDescent="0.25">
      <c r="B48" s="35"/>
      <c r="C48" s="35"/>
    </row>
    <row r="49" spans="2:3" x14ac:dyDescent="0.25">
      <c r="B49" s="35"/>
      <c r="C49" s="35"/>
    </row>
    <row r="50" spans="2:3" x14ac:dyDescent="0.25">
      <c r="B50" s="35"/>
      <c r="C50" s="35"/>
    </row>
    <row r="51" spans="2:3" x14ac:dyDescent="0.25">
      <c r="B51" s="35"/>
      <c r="C51" s="35"/>
    </row>
  </sheetData>
  <hyperlinks>
    <hyperlink ref="A2" location="'Read Me'!A1" display="Return to 'Read Me'"/>
    <hyperlink ref="A3" location="Summary!A1" display="Return to 'Summary'"/>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9" workbookViewId="0">
      <selection activeCell="B127" sqref="B127:D134"/>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63</v>
      </c>
      <c r="I1" s="3">
        <v>5000</v>
      </c>
      <c r="J1" s="181" t="s">
        <v>173</v>
      </c>
      <c r="L1" s="1"/>
      <c r="M1" s="4"/>
      <c r="N1" s="4"/>
      <c r="O1" s="4"/>
      <c r="P1" s="4"/>
      <c r="Q1" s="64"/>
      <c r="R1" s="28"/>
    </row>
    <row r="2" spans="1:18" ht="15.75" customHeight="1" thickBot="1" x14ac:dyDescent="0.3">
      <c r="B2" t="s">
        <v>228</v>
      </c>
      <c r="C2">
        <v>0</v>
      </c>
      <c r="F2" s="5">
        <f>'Asset and Liability Durations'!N9</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+SUMPRODUCT(B5:B70,I5:I70,F5:F70)/SUMPRODUCT(F5:F70,I5:I70)</f>
        <v>13.290143232030761</v>
      </c>
      <c r="N3" s="10"/>
      <c r="O3" s="10"/>
      <c r="P3" s="10"/>
      <c r="Q3" s="31"/>
      <c r="R3" s="32"/>
    </row>
    <row r="4" spans="1:18" x14ac:dyDescent="0.25">
      <c r="A4">
        <v>54</v>
      </c>
      <c r="B4">
        <v>0</v>
      </c>
      <c r="C4" s="8"/>
      <c r="D4" s="7"/>
      <c r="E4" s="7"/>
      <c r="F4" s="7"/>
      <c r="G4" s="10">
        <v>1</v>
      </c>
      <c r="J4" s="11">
        <f>(SUM(G5:$G$79)*$I$1)</f>
        <v>83541.578334132908</v>
      </c>
      <c r="Q4" s="65">
        <v>0</v>
      </c>
      <c r="R4" s="66">
        <f>Inputs!H7</f>
        <v>1.6050000000000001E-3</v>
      </c>
    </row>
    <row r="5" spans="1:18" ht="15.75" thickBot="1" x14ac:dyDescent="0.3">
      <c r="A5">
        <f>B5+$A$4</f>
        <v>55</v>
      </c>
      <c r="B5">
        <v>1</v>
      </c>
      <c r="C5" s="12">
        <f>VLOOKUP(A5,$Q$4:$R$124,2,FALSE)</f>
        <v>3.2539999999999999E-3</v>
      </c>
      <c r="D5" s="10">
        <f>1-C5</f>
        <v>0.99674600000000002</v>
      </c>
      <c r="E5" s="198">
        <f>IF(B5&lt;=$C$2,1,IF(B5=$C$2+1,PRODUCT($D$5:D5),E4*D5))</f>
        <v>0.99674600000000002</v>
      </c>
      <c r="F5" s="10">
        <f t="shared" ref="F5:F64" si="0">IF(D5=0,0,(1+$F$2)^-B5)</f>
        <v>0.96153846153846145</v>
      </c>
      <c r="G5" s="10">
        <f>F5*E5</f>
        <v>0.95840961538461533</v>
      </c>
      <c r="I5" s="13">
        <f t="shared" ref="I5:I64" si="1">E5*$I$1</f>
        <v>4983.7300000000005</v>
      </c>
      <c r="J5" s="11">
        <f>(SUM(G6:$G$79)*$I$1)</f>
        <v>78749.530257209888</v>
      </c>
      <c r="K5" s="11">
        <f>J5-J4</f>
        <v>-4792.0480769230198</v>
      </c>
      <c r="L5" s="14" t="s">
        <v>16</v>
      </c>
      <c r="M5" s="14" t="s">
        <v>17</v>
      </c>
      <c r="N5" s="14" t="s">
        <v>18</v>
      </c>
      <c r="O5" s="14" t="s">
        <v>47</v>
      </c>
      <c r="Q5" s="65">
        <v>1</v>
      </c>
      <c r="R5" s="66">
        <f>Inputs!H8</f>
        <v>4.0099999999999999E-4</v>
      </c>
    </row>
    <row r="6" spans="1:18" x14ac:dyDescent="0.25">
      <c r="A6">
        <f t="shared" ref="A6:A64" si="2">B6+$A$4</f>
        <v>56</v>
      </c>
      <c r="B6">
        <v>2</v>
      </c>
      <c r="C6" s="12">
        <f t="shared" ref="C6:C64" si="3">VLOOKUP(A6,$Q$4:$R$124,2,FALSE)</f>
        <v>3.529E-3</v>
      </c>
      <c r="D6" s="10">
        <f t="shared" ref="D6:D64" si="4">1-C6</f>
        <v>0.996471</v>
      </c>
      <c r="E6" s="198">
        <f>IF(B6&lt;=$C$2,1,IF(B6=$C$2+1,PRODUCT($D$5:D6),E5*D6))</f>
        <v>0.993228483366</v>
      </c>
      <c r="F6" s="10">
        <f t="shared" si="0"/>
        <v>0.92455621301775137</v>
      </c>
      <c r="G6" s="10">
        <f t="shared" ref="G6:G64" si="5">F6*E6</f>
        <v>0.91829556524223366</v>
      </c>
      <c r="I6" s="13">
        <f t="shared" si="1"/>
        <v>4966.14241683</v>
      </c>
      <c r="J6" s="11">
        <f>(SUM(G7:$G$79)*$I$1)</f>
        <v>74158.052430998709</v>
      </c>
      <c r="K6" s="11">
        <f t="shared" ref="K6:K64" si="6">J6-J5</f>
        <v>-4591.4778262111795</v>
      </c>
      <c r="L6" s="14">
        <v>2</v>
      </c>
      <c r="M6" s="54" t="s">
        <v>44</v>
      </c>
      <c r="N6" s="15">
        <f>SUM(I5:I7)</f>
        <v>14896.920016067288</v>
      </c>
      <c r="O6" s="16">
        <f>N6/SUM($N$6:$N$9)</f>
        <v>9.7738924372766739E-2</v>
      </c>
      <c r="Q6" s="65">
        <v>2</v>
      </c>
      <c r="R6" s="66">
        <f>Inputs!H9</f>
        <v>2.7500000000000002E-4</v>
      </c>
    </row>
    <row r="7" spans="1:18" x14ac:dyDescent="0.25">
      <c r="A7">
        <f t="shared" si="2"/>
        <v>57</v>
      </c>
      <c r="B7">
        <v>3</v>
      </c>
      <c r="C7" s="12">
        <f t="shared" si="3"/>
        <v>3.8449999999999999E-3</v>
      </c>
      <c r="D7" s="10">
        <f t="shared" si="4"/>
        <v>0.99615500000000001</v>
      </c>
      <c r="E7" s="198">
        <f>IF(B7&lt;=$C$2,1,IF(B7=$C$2+1,PRODUCT($D$5:D7),E6*D7))</f>
        <v>0.98940951984745773</v>
      </c>
      <c r="F7" s="10">
        <f t="shared" si="0"/>
        <v>0.88899635867091487</v>
      </c>
      <c r="G7" s="10">
        <f t="shared" si="5"/>
        <v>0.8795814603787282</v>
      </c>
      <c r="I7" s="13">
        <f t="shared" si="1"/>
        <v>4947.0475992372885</v>
      </c>
      <c r="J7" s="11">
        <f>(SUM(G8:$G$79)*$I$1)</f>
        <v>69760.145129105076</v>
      </c>
      <c r="K7" s="11">
        <f t="shared" si="6"/>
        <v>-4397.9073018936324</v>
      </c>
      <c r="L7" s="14">
        <v>5</v>
      </c>
      <c r="M7" s="19" t="s">
        <v>45</v>
      </c>
      <c r="N7" s="17">
        <f>SUM(I8:I11)</f>
        <v>19559.020235331649</v>
      </c>
      <c r="O7" s="18">
        <f>N7/SUM($N$6:$N$9)</f>
        <v>0.12832703656357333</v>
      </c>
      <c r="Q7" s="65">
        <v>3</v>
      </c>
      <c r="R7" s="66">
        <f>Inputs!H10</f>
        <v>2.2900000000000001E-4</v>
      </c>
    </row>
    <row r="8" spans="1:18" x14ac:dyDescent="0.25">
      <c r="A8">
        <f t="shared" si="2"/>
        <v>58</v>
      </c>
      <c r="B8">
        <v>4</v>
      </c>
      <c r="C8" s="12">
        <f t="shared" si="3"/>
        <v>4.2129999999999997E-3</v>
      </c>
      <c r="D8" s="10">
        <f t="shared" si="4"/>
        <v>0.99578699999999998</v>
      </c>
      <c r="E8" s="198">
        <f>IF(B8&lt;=$C$2,1,IF(B8=$C$2+1,PRODUCT($D$5:D8),E7*D8))</f>
        <v>0.98524113754034037</v>
      </c>
      <c r="F8" s="10">
        <f t="shared" si="0"/>
        <v>0.85480419102972571</v>
      </c>
      <c r="G8" s="10">
        <f t="shared" si="5"/>
        <v>0.84218825354437743</v>
      </c>
      <c r="I8" s="13">
        <f t="shared" si="1"/>
        <v>4926.2056877017021</v>
      </c>
      <c r="J8" s="11">
        <f>(SUM(G9:$G$79)*$I$1)</f>
        <v>65549.203861383212</v>
      </c>
      <c r="K8" s="11">
        <f t="shared" si="6"/>
        <v>-4210.9412677218643</v>
      </c>
      <c r="L8" s="14">
        <v>10</v>
      </c>
      <c r="M8" s="19" t="s">
        <v>46</v>
      </c>
      <c r="N8" s="17">
        <f>SUM(I12:I19)</f>
        <v>37509.042361505206</v>
      </c>
      <c r="O8" s="18">
        <f>N8/SUM($N$6:$N$9)</f>
        <v>0.24609741145900921</v>
      </c>
      <c r="Q8" s="65">
        <v>4</v>
      </c>
      <c r="R8" s="66">
        <f>Inputs!H11</f>
        <v>1.74E-4</v>
      </c>
    </row>
    <row r="9" spans="1:18" ht="15.75" thickBot="1" x14ac:dyDescent="0.3">
      <c r="A9">
        <f t="shared" si="2"/>
        <v>59</v>
      </c>
      <c r="B9">
        <v>5</v>
      </c>
      <c r="C9" s="12">
        <f t="shared" si="3"/>
        <v>4.6309999999999997E-3</v>
      </c>
      <c r="D9" s="10">
        <f t="shared" si="4"/>
        <v>0.99536899999999995</v>
      </c>
      <c r="E9" s="198">
        <f>IF(B9&lt;=$C$2,1,IF(B9=$C$2+1,PRODUCT($D$5:D9),E8*D9))</f>
        <v>0.98067848583239103</v>
      </c>
      <c r="F9" s="10">
        <f t="shared" si="0"/>
        <v>0.82192710675935154</v>
      </c>
      <c r="G9" s="10">
        <f t="shared" si="5"/>
        <v>0.80604623052135893</v>
      </c>
      <c r="I9" s="13">
        <f t="shared" si="1"/>
        <v>4903.3924291619551</v>
      </c>
      <c r="J9" s="11">
        <f>(SUM(G10:$G$79)*$I$1)</f>
        <v>61518.972708776404</v>
      </c>
      <c r="K9" s="11">
        <f t="shared" si="6"/>
        <v>-4030.2311526068079</v>
      </c>
      <c r="L9" s="14">
        <v>30</v>
      </c>
      <c r="M9" s="20" t="s">
        <v>48</v>
      </c>
      <c r="N9" s="21">
        <f>SUM(I20:I70)</f>
        <v>80450.445648326611</v>
      </c>
      <c r="O9" s="22">
        <f>N9/SUM($N$6:$N$9)</f>
        <v>0.52783662760465067</v>
      </c>
      <c r="Q9" s="65">
        <v>5</v>
      </c>
      <c r="R9" s="66">
        <f>Inputs!H12</f>
        <v>1.6799999999999999E-4</v>
      </c>
    </row>
    <row r="10" spans="1:18" x14ac:dyDescent="0.25">
      <c r="A10">
        <f t="shared" si="2"/>
        <v>60</v>
      </c>
      <c r="B10">
        <v>6</v>
      </c>
      <c r="C10" s="12">
        <f t="shared" si="3"/>
        <v>5.0959999999999998E-3</v>
      </c>
      <c r="D10" s="10">
        <f t="shared" si="4"/>
        <v>0.99490400000000001</v>
      </c>
      <c r="E10" s="198">
        <f>IF(B10&lt;=$C$2,1,IF(B10=$C$2+1,PRODUCT($D$5:D10),E9*D10))</f>
        <v>0.9756809482685892</v>
      </c>
      <c r="F10" s="10">
        <f t="shared" si="0"/>
        <v>0.79031452573014571</v>
      </c>
      <c r="G10" s="10">
        <f t="shared" si="5"/>
        <v>0.77109482589482892</v>
      </c>
      <c r="I10" s="13">
        <f t="shared" si="1"/>
        <v>4878.4047413429462</v>
      </c>
      <c r="J10" s="11">
        <f>(SUM(G11:$G$79)*$I$1)</f>
        <v>57663.498579302279</v>
      </c>
      <c r="K10" s="11">
        <f t="shared" si="6"/>
        <v>-3855.4741294741252</v>
      </c>
      <c r="L10" s="53">
        <f>+SUMPRODUCT(L6:L9,O6:O9)</f>
        <v>19.133185974293013</v>
      </c>
      <c r="O10" s="23">
        <f>SUM(O6:O9)</f>
        <v>1</v>
      </c>
      <c r="Q10" s="65">
        <v>6</v>
      </c>
      <c r="R10" s="66">
        <f>Inputs!H13</f>
        <v>1.65E-4</v>
      </c>
    </row>
    <row r="11" spans="1:18" x14ac:dyDescent="0.25">
      <c r="A11">
        <f t="shared" si="2"/>
        <v>61</v>
      </c>
      <c r="B11">
        <v>7</v>
      </c>
      <c r="C11" s="12">
        <f t="shared" si="3"/>
        <v>5.6140000000000001E-3</v>
      </c>
      <c r="D11" s="10">
        <f t="shared" si="4"/>
        <v>0.99438599999999999</v>
      </c>
      <c r="E11" s="198">
        <f>IF(B11&lt;=$C$2,1,IF(B11=$C$2+1,PRODUCT($D$5:D11),E10*D11))</f>
        <v>0.97020347542500929</v>
      </c>
      <c r="F11" s="10">
        <f t="shared" si="0"/>
        <v>0.75991781320206331</v>
      </c>
      <c r="G11" s="10">
        <f t="shared" si="5"/>
        <v>0.73727490340601487</v>
      </c>
      <c r="I11" s="13">
        <f t="shared" si="1"/>
        <v>4851.0173771250466</v>
      </c>
      <c r="J11" s="11">
        <f>(SUM(G12:$G$79)*$I$1)</f>
        <v>53977.124062272211</v>
      </c>
      <c r="K11" s="11">
        <f t="shared" si="6"/>
        <v>-3686.3745170300681</v>
      </c>
      <c r="Q11" s="65">
        <v>7</v>
      </c>
      <c r="R11" s="66">
        <f>Inputs!H14</f>
        <v>1.5899999999999999E-4</v>
      </c>
    </row>
    <row r="12" spans="1:18" x14ac:dyDescent="0.25">
      <c r="A12">
        <f t="shared" si="2"/>
        <v>62</v>
      </c>
      <c r="B12">
        <v>8</v>
      </c>
      <c r="C12" s="12">
        <f t="shared" si="3"/>
        <v>6.169E-3</v>
      </c>
      <c r="D12" s="10">
        <f t="shared" si="4"/>
        <v>0.99383100000000002</v>
      </c>
      <c r="E12" s="198">
        <f>IF(B12&lt;=$C$2,1,IF(B12=$C$2+1,PRODUCT($D$5:D12),E11*D12))</f>
        <v>0.9642182901851124</v>
      </c>
      <c r="F12" s="10">
        <f t="shared" si="0"/>
        <v>0.73069020500198378</v>
      </c>
      <c r="G12" s="10">
        <f t="shared" si="5"/>
        <v>0.70454486012202211</v>
      </c>
      <c r="I12" s="13">
        <f t="shared" si="1"/>
        <v>4821.0914509255617</v>
      </c>
      <c r="J12" s="11">
        <f>(SUM(G13:$G$79)*$I$1)</f>
        <v>50454.399761662091</v>
      </c>
      <c r="K12" s="11">
        <f t="shared" si="6"/>
        <v>-3522.7243006101198</v>
      </c>
      <c r="Q12" s="65">
        <v>8</v>
      </c>
      <c r="R12" s="66">
        <f>Inputs!H15</f>
        <v>1.4300000000000001E-4</v>
      </c>
    </row>
    <row r="13" spans="1:18" x14ac:dyDescent="0.25">
      <c r="A13">
        <f t="shared" si="2"/>
        <v>63</v>
      </c>
      <c r="B13">
        <v>9</v>
      </c>
      <c r="C13" s="12">
        <f t="shared" si="3"/>
        <v>6.7590000000000003E-3</v>
      </c>
      <c r="D13" s="10">
        <f t="shared" si="4"/>
        <v>0.99324100000000004</v>
      </c>
      <c r="E13" s="198">
        <f>IF(B13&lt;=$C$2,1,IF(B13=$C$2+1,PRODUCT($D$5:D13),E12*D13))</f>
        <v>0.95770113876175123</v>
      </c>
      <c r="F13" s="10">
        <f t="shared" si="0"/>
        <v>0.70258673557883045</v>
      </c>
      <c r="G13" s="10">
        <f t="shared" si="5"/>
        <v>0.67286811674274727</v>
      </c>
      <c r="I13" s="13">
        <f t="shared" si="1"/>
        <v>4788.5056938087564</v>
      </c>
      <c r="J13" s="11">
        <f>(SUM(G14:$G$79)*$I$1)</f>
        <v>47090.059177948351</v>
      </c>
      <c r="K13" s="11">
        <f t="shared" si="6"/>
        <v>-3364.3405837137398</v>
      </c>
      <c r="Q13" s="65">
        <v>9</v>
      </c>
      <c r="R13" s="66">
        <f>Inputs!H16</f>
        <v>1.2899999999999999E-4</v>
      </c>
    </row>
    <row r="14" spans="1:18" x14ac:dyDescent="0.25">
      <c r="A14">
        <f t="shared" si="2"/>
        <v>64</v>
      </c>
      <c r="B14">
        <v>10</v>
      </c>
      <c r="C14" s="12">
        <f t="shared" si="3"/>
        <v>7.3980000000000001E-3</v>
      </c>
      <c r="D14" s="10">
        <f t="shared" si="4"/>
        <v>0.99260199999999998</v>
      </c>
      <c r="E14" s="198">
        <f>IF(B14&lt;=$C$2,1,IF(B14=$C$2+1,PRODUCT($D$5:D14),E13*D14))</f>
        <v>0.95061606573719182</v>
      </c>
      <c r="F14" s="10">
        <f t="shared" si="0"/>
        <v>0.67556416882579851</v>
      </c>
      <c r="G14" s="10">
        <f t="shared" si="5"/>
        <v>0.64220215232219657</v>
      </c>
      <c r="I14" s="13">
        <f t="shared" si="1"/>
        <v>4753.0803286859591</v>
      </c>
      <c r="J14" s="11">
        <f>(SUM(G15:$G$79)*$I$1)</f>
        <v>43879.048416337355</v>
      </c>
      <c r="K14" s="11">
        <f t="shared" si="6"/>
        <v>-3211.0107616109963</v>
      </c>
      <c r="Q14" s="65">
        <v>10</v>
      </c>
      <c r="R14" s="66">
        <f>Inputs!H17</f>
        <v>1.13E-4</v>
      </c>
    </row>
    <row r="15" spans="1:18" x14ac:dyDescent="0.25">
      <c r="A15">
        <f t="shared" si="2"/>
        <v>65</v>
      </c>
      <c r="B15">
        <v>11</v>
      </c>
      <c r="C15" s="12">
        <f t="shared" si="3"/>
        <v>8.1060000000000004E-3</v>
      </c>
      <c r="D15" s="10">
        <f t="shared" si="4"/>
        <v>0.99189400000000005</v>
      </c>
      <c r="E15" s="198">
        <f>IF(B15&lt;=$C$2,1,IF(B15=$C$2+1,PRODUCT($D$5:D15),E14*D15))</f>
        <v>0.94291037190832616</v>
      </c>
      <c r="F15" s="10">
        <f t="shared" si="0"/>
        <v>0.6495809315632679</v>
      </c>
      <c r="G15" s="10">
        <f t="shared" si="5"/>
        <v>0.61249659776487786</v>
      </c>
      <c r="I15" s="13">
        <f t="shared" si="1"/>
        <v>4714.5518595416306</v>
      </c>
      <c r="J15" s="11">
        <f>(SUM(G16:$G$79)*$I$1)</f>
        <v>40816.565427512964</v>
      </c>
      <c r="K15" s="11">
        <f t="shared" si="6"/>
        <v>-3062.4829888243912</v>
      </c>
      <c r="Q15" s="65">
        <v>11</v>
      </c>
      <c r="R15" s="66">
        <f>Inputs!H18</f>
        <v>1.11E-4</v>
      </c>
    </row>
    <row r="16" spans="1:18" x14ac:dyDescent="0.25">
      <c r="A16">
        <f t="shared" si="2"/>
        <v>66</v>
      </c>
      <c r="B16">
        <v>12</v>
      </c>
      <c r="C16" s="12">
        <f t="shared" si="3"/>
        <v>8.548E-3</v>
      </c>
      <c r="D16" s="10">
        <f t="shared" si="4"/>
        <v>0.991452</v>
      </c>
      <c r="E16" s="198">
        <f>IF(B16&lt;=$C$2,1,IF(B16=$C$2+1,PRODUCT($D$5:D16),E15*D16))</f>
        <v>0.93485037404925375</v>
      </c>
      <c r="F16" s="10">
        <f t="shared" si="0"/>
        <v>0.62459704958006512</v>
      </c>
      <c r="G16" s="10">
        <f t="shared" si="5"/>
        <v>0.58390478542998414</v>
      </c>
      <c r="I16" s="13">
        <f t="shared" si="1"/>
        <v>4674.2518702462685</v>
      </c>
      <c r="J16" s="11">
        <f>(SUM(G17:$G$79)*$I$1)</f>
        <v>37897.041500363004</v>
      </c>
      <c r="K16" s="11">
        <f t="shared" si="6"/>
        <v>-2919.5239271499595</v>
      </c>
      <c r="Q16" s="65">
        <v>12</v>
      </c>
      <c r="R16" s="66">
        <f>Inputs!H19</f>
        <v>1.3200000000000001E-4</v>
      </c>
    </row>
    <row r="17" spans="1:18" x14ac:dyDescent="0.25">
      <c r="A17">
        <f t="shared" si="2"/>
        <v>67</v>
      </c>
      <c r="B17">
        <v>13</v>
      </c>
      <c r="C17" s="12">
        <f t="shared" si="3"/>
        <v>9.0760000000000007E-3</v>
      </c>
      <c r="D17" s="10">
        <f t="shared" si="4"/>
        <v>0.99092400000000003</v>
      </c>
      <c r="E17" s="198">
        <f>IF(B17&lt;=$C$2,1,IF(B17=$C$2+1,PRODUCT($D$5:D17),E16*D17))</f>
        <v>0.9263656720543828</v>
      </c>
      <c r="F17" s="10">
        <f t="shared" si="0"/>
        <v>0.600574086134678</v>
      </c>
      <c r="G17" s="10">
        <f t="shared" si="5"/>
        <v>0.55635121692059775</v>
      </c>
      <c r="I17" s="13">
        <f t="shared" si="1"/>
        <v>4631.8283602719139</v>
      </c>
      <c r="J17" s="11">
        <f>(SUM(G18:$G$79)*$I$1)</f>
        <v>35115.285415760016</v>
      </c>
      <c r="K17" s="11">
        <f t="shared" si="6"/>
        <v>-2781.7560846029883</v>
      </c>
      <c r="Q17" s="65">
        <v>13</v>
      </c>
      <c r="R17" s="66">
        <f>Inputs!H20</f>
        <v>1.6899999999999999E-4</v>
      </c>
    </row>
    <row r="18" spans="1:18" x14ac:dyDescent="0.25">
      <c r="A18">
        <f t="shared" si="2"/>
        <v>68</v>
      </c>
      <c r="B18">
        <v>14</v>
      </c>
      <c r="C18" s="12">
        <f t="shared" si="3"/>
        <v>9.7079999999999996E-3</v>
      </c>
      <c r="D18" s="10">
        <f t="shared" si="4"/>
        <v>0.99029199999999995</v>
      </c>
      <c r="E18" s="198">
        <f>IF(B18&lt;=$C$2,1,IF(B18=$C$2+1,PRODUCT($D$5:D18),E17*D18))</f>
        <v>0.91737251411007881</v>
      </c>
      <c r="F18" s="10">
        <f t="shared" si="0"/>
        <v>0.57747508282180582</v>
      </c>
      <c r="G18" s="10">
        <f t="shared" si="5"/>
        <v>0.52975976856416596</v>
      </c>
      <c r="I18" s="13">
        <f t="shared" si="1"/>
        <v>4586.8625705503937</v>
      </c>
      <c r="J18" s="11">
        <f>(SUM(G19:$G$79)*$I$1)</f>
        <v>32466.48657293919</v>
      </c>
      <c r="K18" s="11">
        <f t="shared" si="6"/>
        <v>-2648.7988428208264</v>
      </c>
      <c r="Q18" s="65">
        <v>14</v>
      </c>
      <c r="R18" s="66">
        <f>Inputs!H21</f>
        <v>2.13E-4</v>
      </c>
    </row>
    <row r="19" spans="1:18" x14ac:dyDescent="0.25">
      <c r="A19">
        <f t="shared" si="2"/>
        <v>69</v>
      </c>
      <c r="B19">
        <v>15</v>
      </c>
      <c r="C19" s="12">
        <f t="shared" si="3"/>
        <v>1.0463E-2</v>
      </c>
      <c r="D19" s="10">
        <f t="shared" si="4"/>
        <v>0.989537</v>
      </c>
      <c r="E19" s="198">
        <f>IF(B19&lt;=$C$2,1,IF(B19=$C$2+1,PRODUCT($D$5:D19),E18*D19))</f>
        <v>0.907774045494945</v>
      </c>
      <c r="F19" s="10">
        <f t="shared" si="0"/>
        <v>0.55526450271327477</v>
      </c>
      <c r="G19" s="10">
        <f t="shared" si="5"/>
        <v>0.5040547039477683</v>
      </c>
      <c r="I19" s="13">
        <f t="shared" si="1"/>
        <v>4538.8702274747247</v>
      </c>
      <c r="J19" s="11">
        <f>(SUM(G20:$G$79)*$I$1)</f>
        <v>29946.21305320035</v>
      </c>
      <c r="K19" s="11">
        <f t="shared" si="6"/>
        <v>-2520.2735197388392</v>
      </c>
      <c r="Q19" s="65">
        <v>15</v>
      </c>
      <c r="R19" s="66">
        <f>Inputs!H22</f>
        <v>2.5399999999999999E-4</v>
      </c>
    </row>
    <row r="20" spans="1:18" x14ac:dyDescent="0.25">
      <c r="A20">
        <f t="shared" si="2"/>
        <v>70</v>
      </c>
      <c r="B20">
        <v>16</v>
      </c>
      <c r="C20" s="12">
        <f t="shared" si="3"/>
        <v>1.1357000000000001E-2</v>
      </c>
      <c r="D20" s="10">
        <f t="shared" si="4"/>
        <v>0.98864300000000005</v>
      </c>
      <c r="E20" s="198">
        <f>IF(B20&lt;=$C$2,1,IF(B20=$C$2+1,PRODUCT($D$5:D20),E19*D20))</f>
        <v>0.89746445566025901</v>
      </c>
      <c r="F20" s="10">
        <f t="shared" si="0"/>
        <v>0.53390817568584104</v>
      </c>
      <c r="G20" s="10">
        <f t="shared" si="5"/>
        <v>0.47916361026445525</v>
      </c>
      <c r="I20" s="13">
        <f t="shared" si="1"/>
        <v>4487.3222783012952</v>
      </c>
      <c r="J20" s="11">
        <f>(SUM(G21:$G$79)*$I$1)</f>
        <v>27550.395001878078</v>
      </c>
      <c r="K20" s="11">
        <f t="shared" si="6"/>
        <v>-2395.8180513222724</v>
      </c>
      <c r="Q20" s="65">
        <v>16</v>
      </c>
      <c r="R20" s="66">
        <f>Inputs!H23</f>
        <v>2.9300000000000002E-4</v>
      </c>
    </row>
    <row r="21" spans="1:18" x14ac:dyDescent="0.25">
      <c r="A21">
        <f t="shared" si="2"/>
        <v>71</v>
      </c>
      <c r="B21">
        <v>17</v>
      </c>
      <c r="C21" s="12">
        <f t="shared" si="3"/>
        <v>1.2418E-2</v>
      </c>
      <c r="D21" s="10">
        <f t="shared" si="4"/>
        <v>0.98758199999999996</v>
      </c>
      <c r="E21" s="198">
        <f>IF(B21&lt;=$C$2,1,IF(B21=$C$2+1,PRODUCT($D$5:D21),E20*D21))</f>
        <v>0.88631974204986985</v>
      </c>
      <c r="F21" s="10">
        <f t="shared" si="0"/>
        <v>0.51337324585177024</v>
      </c>
      <c r="G21" s="10">
        <f t="shared" si="5"/>
        <v>0.4550128428386454</v>
      </c>
      <c r="I21" s="13">
        <f t="shared" si="1"/>
        <v>4431.5987102493491</v>
      </c>
      <c r="J21" s="11">
        <f>(SUM(G22:$G$79)*$I$1)</f>
        <v>25275.330787684845</v>
      </c>
      <c r="K21" s="11">
        <f t="shared" si="6"/>
        <v>-2275.0642141932331</v>
      </c>
      <c r="Q21" s="65">
        <v>17</v>
      </c>
      <c r="R21" s="66">
        <f>Inputs!H24</f>
        <v>3.28E-4</v>
      </c>
    </row>
    <row r="22" spans="1:18" x14ac:dyDescent="0.25">
      <c r="A22">
        <f t="shared" si="2"/>
        <v>72</v>
      </c>
      <c r="B22">
        <v>18</v>
      </c>
      <c r="C22" s="12">
        <f t="shared" si="3"/>
        <v>1.3675E-2</v>
      </c>
      <c r="D22" s="10">
        <f t="shared" si="4"/>
        <v>0.98632500000000001</v>
      </c>
      <c r="E22" s="198">
        <f>IF(B22&lt;=$C$2,1,IF(B22=$C$2+1,PRODUCT($D$5:D22),E21*D22))</f>
        <v>0.87419931957733787</v>
      </c>
      <c r="F22" s="10">
        <f t="shared" si="0"/>
        <v>0.49362812101131748</v>
      </c>
      <c r="G22" s="10">
        <f t="shared" si="5"/>
        <v>0.43152936751233356</v>
      </c>
      <c r="I22" s="13">
        <f t="shared" si="1"/>
        <v>4370.9965978866894</v>
      </c>
      <c r="J22" s="11">
        <f>(SUM(G23:$G$79)*$I$1)</f>
        <v>23117.683950123177</v>
      </c>
      <c r="K22" s="11">
        <f t="shared" si="6"/>
        <v>-2157.6468375616678</v>
      </c>
      <c r="Q22" s="65">
        <v>18</v>
      </c>
      <c r="R22" s="66">
        <f>Inputs!H25</f>
        <v>3.59E-4</v>
      </c>
    </row>
    <row r="23" spans="1:18" x14ac:dyDescent="0.25">
      <c r="A23">
        <f t="shared" si="2"/>
        <v>73</v>
      </c>
      <c r="B23">
        <v>19</v>
      </c>
      <c r="C23" s="12">
        <f t="shared" si="3"/>
        <v>1.515E-2</v>
      </c>
      <c r="D23" s="10">
        <f t="shared" si="4"/>
        <v>0.98485</v>
      </c>
      <c r="E23" s="198">
        <f>IF(B23&lt;=$C$2,1,IF(B23=$C$2+1,PRODUCT($D$5:D23),E22*D23))</f>
        <v>0.86095519988574121</v>
      </c>
      <c r="F23" s="10">
        <f t="shared" si="0"/>
        <v>0.47464242404934376</v>
      </c>
      <c r="G23" s="10">
        <f t="shared" si="5"/>
        <v>0.40864586307165551</v>
      </c>
      <c r="I23" s="13">
        <f t="shared" si="1"/>
        <v>4304.7759994287062</v>
      </c>
      <c r="J23" s="11">
        <f>(SUM(G24:$G$79)*$I$1)</f>
        <v>21074.454634764905</v>
      </c>
      <c r="K23" s="11">
        <f t="shared" si="6"/>
        <v>-2043.2293153582723</v>
      </c>
      <c r="Q23" s="65">
        <v>19</v>
      </c>
      <c r="R23" s="66">
        <f>Inputs!H26</f>
        <v>3.8699999999999997E-4</v>
      </c>
    </row>
    <row r="24" spans="1:18" x14ac:dyDescent="0.25">
      <c r="A24">
        <f t="shared" si="2"/>
        <v>74</v>
      </c>
      <c r="B24">
        <v>20</v>
      </c>
      <c r="C24" s="12">
        <f t="shared" si="3"/>
        <v>1.686E-2</v>
      </c>
      <c r="D24" s="10">
        <f t="shared" si="4"/>
        <v>0.98314000000000001</v>
      </c>
      <c r="E24" s="198">
        <f>IF(B24&lt;=$C$2,1,IF(B24=$C$2+1,PRODUCT($D$5:D24),E23*D24))</f>
        <v>0.84643949521566764</v>
      </c>
      <c r="F24" s="10">
        <f t="shared" si="0"/>
        <v>0.45638694620129205</v>
      </c>
      <c r="G24" s="10">
        <f t="shared" si="5"/>
        <v>0.3863039363656417</v>
      </c>
      <c r="I24" s="13">
        <f t="shared" si="1"/>
        <v>4232.1974760783378</v>
      </c>
      <c r="J24" s="11">
        <f>(SUM(G25:$G$79)*$I$1)</f>
        <v>19142.934952936695</v>
      </c>
      <c r="K24" s="11">
        <f t="shared" si="6"/>
        <v>-1931.5196818282093</v>
      </c>
      <c r="Q24" s="65">
        <v>20</v>
      </c>
      <c r="R24" s="66">
        <f>Inputs!H27</f>
        <v>4.1399999999999998E-4</v>
      </c>
    </row>
    <row r="25" spans="1:18" x14ac:dyDescent="0.25">
      <c r="A25">
        <f t="shared" si="2"/>
        <v>75</v>
      </c>
      <c r="B25">
        <v>21</v>
      </c>
      <c r="C25" s="12">
        <f t="shared" si="3"/>
        <v>1.8814999999999998E-2</v>
      </c>
      <c r="D25" s="10">
        <f t="shared" si="4"/>
        <v>0.98118499999999997</v>
      </c>
      <c r="E25" s="198">
        <f>IF(B25&lt;=$C$2,1,IF(B25=$C$2+1,PRODUCT($D$5:D25),E24*D25))</f>
        <v>0.8305137361131848</v>
      </c>
      <c r="F25" s="10">
        <f t="shared" si="0"/>
        <v>0.43883360211662686</v>
      </c>
      <c r="G25" s="10">
        <f t="shared" si="5"/>
        <v>0.36445733442588657</v>
      </c>
      <c r="I25" s="13">
        <f t="shared" si="1"/>
        <v>4152.5686805659243</v>
      </c>
      <c r="J25" s="11">
        <f>(SUM(G26:$G$79)*$I$1)</f>
        <v>17320.648280807261</v>
      </c>
      <c r="K25" s="11">
        <f t="shared" si="6"/>
        <v>-1822.286672129434</v>
      </c>
      <c r="Q25" s="65">
        <v>21</v>
      </c>
      <c r="R25" s="66">
        <f>Inputs!H28</f>
        <v>4.4299999999999998E-4</v>
      </c>
    </row>
    <row r="26" spans="1:18" x14ac:dyDescent="0.25">
      <c r="A26">
        <f t="shared" si="2"/>
        <v>76</v>
      </c>
      <c r="B26">
        <v>22</v>
      </c>
      <c r="C26" s="12">
        <f t="shared" si="3"/>
        <v>2.1031000000000001E-2</v>
      </c>
      <c r="D26" s="10">
        <f t="shared" si="4"/>
        <v>0.97896899999999998</v>
      </c>
      <c r="E26" s="198">
        <f>IF(B26&lt;=$C$2,1,IF(B26=$C$2+1,PRODUCT($D$5:D26),E25*D26))</f>
        <v>0.81304720172898837</v>
      </c>
      <c r="F26" s="10">
        <f t="shared" si="0"/>
        <v>0.42195538665060278</v>
      </c>
      <c r="G26" s="10">
        <f t="shared" si="5"/>
        <v>0.34306964637074594</v>
      </c>
      <c r="I26" s="13">
        <f t="shared" si="1"/>
        <v>4065.2360086449416</v>
      </c>
      <c r="J26" s="11">
        <f>(SUM(G27:$G$79)*$I$1)</f>
        <v>15605.300048953532</v>
      </c>
      <c r="K26" s="11">
        <f t="shared" si="6"/>
        <v>-1715.3482318537299</v>
      </c>
      <c r="Q26" s="65">
        <v>22</v>
      </c>
      <c r="R26" s="66">
        <f>Inputs!H29</f>
        <v>4.73E-4</v>
      </c>
    </row>
    <row r="27" spans="1:18" x14ac:dyDescent="0.25">
      <c r="A27">
        <f t="shared" si="2"/>
        <v>77</v>
      </c>
      <c r="B27">
        <v>23</v>
      </c>
      <c r="C27" s="12">
        <f t="shared" si="3"/>
        <v>2.3539999999999998E-2</v>
      </c>
      <c r="D27" s="10">
        <f t="shared" si="4"/>
        <v>0.97645999999999999</v>
      </c>
      <c r="E27" s="198">
        <f>IF(B27&lt;=$C$2,1,IF(B27=$C$2+1,PRODUCT($D$5:D27),E26*D27))</f>
        <v>0.79390807060028801</v>
      </c>
      <c r="F27" s="10">
        <f t="shared" si="0"/>
        <v>0.40572633331788732</v>
      </c>
      <c r="G27" s="10">
        <f t="shared" si="5"/>
        <v>0.32210941047613328</v>
      </c>
      <c r="I27" s="13">
        <f t="shared" si="1"/>
        <v>3969.5403530014401</v>
      </c>
      <c r="J27" s="11">
        <f>(SUM(G28:$G$79)*$I$1)</f>
        <v>13994.752996572866</v>
      </c>
      <c r="K27" s="11">
        <f t="shared" si="6"/>
        <v>-1610.5470523806653</v>
      </c>
      <c r="Q27" s="65">
        <v>23</v>
      </c>
      <c r="R27" s="66">
        <f>Inputs!H30</f>
        <v>5.13E-4</v>
      </c>
    </row>
    <row r="28" spans="1:18" x14ac:dyDescent="0.25">
      <c r="A28">
        <f t="shared" si="2"/>
        <v>78</v>
      </c>
      <c r="B28">
        <v>24</v>
      </c>
      <c r="C28" s="12">
        <f t="shared" si="3"/>
        <v>2.6374999999999999E-2</v>
      </c>
      <c r="D28" s="10">
        <f t="shared" si="4"/>
        <v>0.97362499999999996</v>
      </c>
      <c r="E28" s="198">
        <f>IF(B28&lt;=$C$2,1,IF(B28=$C$2+1,PRODUCT($D$5:D28),E27*D28))</f>
        <v>0.77296874523820536</v>
      </c>
      <c r="F28" s="10">
        <f t="shared" si="0"/>
        <v>0.39012147434412242</v>
      </c>
      <c r="G28" s="10">
        <f t="shared" si="5"/>
        <v>0.30155170651425506</v>
      </c>
      <c r="I28" s="13">
        <f t="shared" si="1"/>
        <v>3864.8437261910267</v>
      </c>
      <c r="J28" s="11">
        <f>(SUM(G29:$G$79)*$I$1)</f>
        <v>12486.994464001591</v>
      </c>
      <c r="K28" s="11">
        <f t="shared" si="6"/>
        <v>-1507.7585325712753</v>
      </c>
      <c r="Q28" s="65">
        <v>24</v>
      </c>
      <c r="R28" s="66">
        <f>Inputs!H31</f>
        <v>5.5400000000000002E-4</v>
      </c>
    </row>
    <row r="29" spans="1:18" x14ac:dyDescent="0.25">
      <c r="A29">
        <f t="shared" si="2"/>
        <v>79</v>
      </c>
      <c r="B29">
        <v>25</v>
      </c>
      <c r="C29" s="12">
        <f t="shared" si="3"/>
        <v>2.9572000000000001E-2</v>
      </c>
      <c r="D29" s="10">
        <f t="shared" si="4"/>
        <v>0.97042799999999996</v>
      </c>
      <c r="E29" s="198">
        <f>IF(B29&lt;=$C$2,1,IF(B29=$C$2+1,PRODUCT($D$5:D29),E28*D29))</f>
        <v>0.75011051350402114</v>
      </c>
      <c r="F29" s="10">
        <f t="shared" si="0"/>
        <v>0.37511680225396377</v>
      </c>
      <c r="G29" s="10">
        <f t="shared" si="5"/>
        <v>0.28137905716270711</v>
      </c>
      <c r="I29" s="13">
        <f t="shared" si="1"/>
        <v>3750.5525675201056</v>
      </c>
      <c r="J29" s="11">
        <f>(SUM(G30:$G$79)*$I$1)</f>
        <v>11080.099178188058</v>
      </c>
      <c r="K29" s="11">
        <f t="shared" si="6"/>
        <v>-1406.8952858135326</v>
      </c>
      <c r="Q29" s="65">
        <v>25</v>
      </c>
      <c r="R29" s="66">
        <f>Inputs!H32</f>
        <v>6.02E-4</v>
      </c>
    </row>
    <row r="30" spans="1:18" x14ac:dyDescent="0.25">
      <c r="A30">
        <f t="shared" si="2"/>
        <v>80</v>
      </c>
      <c r="B30">
        <v>26</v>
      </c>
      <c r="C30" s="12">
        <f t="shared" si="3"/>
        <v>3.3234E-2</v>
      </c>
      <c r="D30" s="10">
        <f t="shared" si="4"/>
        <v>0.96676600000000001</v>
      </c>
      <c r="E30" s="198">
        <f>IF(B30&lt;=$C$2,1,IF(B30=$C$2+1,PRODUCT($D$5:D30),E29*D30))</f>
        <v>0.72518134069822848</v>
      </c>
      <c r="F30" s="10">
        <f t="shared" si="0"/>
        <v>0.36068923293650368</v>
      </c>
      <c r="G30" s="10">
        <f t="shared" si="5"/>
        <v>0.26156510151630935</v>
      </c>
      <c r="I30" s="13">
        <f t="shared" si="1"/>
        <v>3625.9067034911423</v>
      </c>
      <c r="J30" s="11">
        <f>(SUM(G31:$G$79)*$I$1)</f>
        <v>9772.273670606517</v>
      </c>
      <c r="K30" s="11">
        <f t="shared" si="6"/>
        <v>-1307.8255075815414</v>
      </c>
      <c r="Q30" s="65">
        <v>26</v>
      </c>
      <c r="R30" s="66">
        <f>Inputs!H33</f>
        <v>6.5499999999999998E-4</v>
      </c>
    </row>
    <row r="31" spans="1:18" x14ac:dyDescent="0.25">
      <c r="A31">
        <f t="shared" si="2"/>
        <v>81</v>
      </c>
      <c r="B31">
        <v>27</v>
      </c>
      <c r="C31" s="12">
        <f t="shared" si="3"/>
        <v>3.7532999999999997E-2</v>
      </c>
      <c r="D31" s="10">
        <f t="shared" si="4"/>
        <v>0.96246699999999996</v>
      </c>
      <c r="E31" s="198">
        <f>IF(B31&lt;=$C$2,1,IF(B31=$C$2+1,PRODUCT($D$5:D31),E30*D31))</f>
        <v>0.69796310943780182</v>
      </c>
      <c r="F31" s="10">
        <f t="shared" si="0"/>
        <v>0.3468165701312535</v>
      </c>
      <c r="G31" s="10">
        <f t="shared" si="5"/>
        <v>0.24206517169336317</v>
      </c>
      <c r="I31" s="13">
        <f t="shared" si="1"/>
        <v>3489.8155471890091</v>
      </c>
      <c r="J31" s="11">
        <f>(SUM(G32:$G$79)*$I$1)</f>
        <v>8561.9478121397005</v>
      </c>
      <c r="K31" s="11">
        <f t="shared" si="6"/>
        <v>-1210.3258584668165</v>
      </c>
      <c r="Q31" s="65">
        <v>27</v>
      </c>
      <c r="R31" s="66">
        <f>Inputs!H34</f>
        <v>6.8800000000000003E-4</v>
      </c>
    </row>
    <row r="32" spans="1:18" x14ac:dyDescent="0.25">
      <c r="A32">
        <f t="shared" si="2"/>
        <v>82</v>
      </c>
      <c r="B32">
        <v>28</v>
      </c>
      <c r="C32" s="12">
        <f t="shared" si="3"/>
        <v>4.2261E-2</v>
      </c>
      <c r="D32" s="10">
        <f t="shared" si="4"/>
        <v>0.95773900000000001</v>
      </c>
      <c r="E32" s="198">
        <f>IF(B32&lt;=$C$2,1,IF(B32=$C$2+1,PRODUCT($D$5:D32),E31*D32))</f>
        <v>0.66846649046985085</v>
      </c>
      <c r="F32" s="10">
        <f t="shared" si="0"/>
        <v>0.3334774712800514</v>
      </c>
      <c r="G32" s="10">
        <f t="shared" si="5"/>
        <v>0.22291851487733644</v>
      </c>
      <c r="I32" s="13">
        <f t="shared" si="1"/>
        <v>3342.3324523492543</v>
      </c>
      <c r="J32" s="11">
        <f>(SUM(G33:$G$79)*$I$1)</f>
        <v>7447.3552377530168</v>
      </c>
      <c r="K32" s="11">
        <f t="shared" si="6"/>
        <v>-1114.5925743866837</v>
      </c>
      <c r="Q32" s="65">
        <v>28</v>
      </c>
      <c r="R32" s="66">
        <f>Inputs!H35</f>
        <v>7.1000000000000002E-4</v>
      </c>
    </row>
    <row r="33" spans="1:18" x14ac:dyDescent="0.25">
      <c r="A33">
        <f t="shared" si="2"/>
        <v>83</v>
      </c>
      <c r="B33">
        <v>29</v>
      </c>
      <c r="C33" s="12">
        <f t="shared" si="3"/>
        <v>4.7440999999999997E-2</v>
      </c>
      <c r="D33" s="10">
        <f t="shared" si="4"/>
        <v>0.95255900000000004</v>
      </c>
      <c r="E33" s="198">
        <f>IF(B33&lt;=$C$2,1,IF(B33=$C$2+1,PRODUCT($D$5:D33),E32*D33))</f>
        <v>0.63675377169547065</v>
      </c>
      <c r="F33" s="10">
        <f t="shared" si="0"/>
        <v>0.32065141469235708</v>
      </c>
      <c r="G33" s="10">
        <f t="shared" si="5"/>
        <v>0.20417599770484682</v>
      </c>
      <c r="I33" s="13">
        <f t="shared" si="1"/>
        <v>3183.7688584773532</v>
      </c>
      <c r="J33" s="11">
        <f>(SUM(G34:$G$79)*$I$1)</f>
        <v>6426.4752492287826</v>
      </c>
      <c r="K33" s="11">
        <f t="shared" si="6"/>
        <v>-1020.8799885242342</v>
      </c>
      <c r="Q33" s="65">
        <v>29</v>
      </c>
      <c r="R33" s="66">
        <f>Inputs!H36</f>
        <v>7.27E-4</v>
      </c>
    </row>
    <row r="34" spans="1:18" x14ac:dyDescent="0.25">
      <c r="A34">
        <f t="shared" si="2"/>
        <v>84</v>
      </c>
      <c r="B34">
        <v>30</v>
      </c>
      <c r="C34" s="12">
        <f t="shared" si="3"/>
        <v>5.3233000000000003E-2</v>
      </c>
      <c r="D34" s="10">
        <f t="shared" si="4"/>
        <v>0.94676700000000003</v>
      </c>
      <c r="E34" s="198">
        <f>IF(B34&lt;=$C$2,1,IF(B34=$C$2+1,PRODUCT($D$5:D34),E33*D34))</f>
        <v>0.60285745816680569</v>
      </c>
      <c r="F34" s="10">
        <f t="shared" si="0"/>
        <v>0.30831866797342034</v>
      </c>
      <c r="G34" s="10">
        <f t="shared" si="5"/>
        <v>0.18587220847983149</v>
      </c>
      <c r="I34" s="13">
        <f t="shared" si="1"/>
        <v>3014.2872908340287</v>
      </c>
      <c r="J34" s="11">
        <f>(SUM(G35:$G$79)*$I$1)</f>
        <v>5497.1142068296267</v>
      </c>
      <c r="K34" s="11">
        <f t="shared" si="6"/>
        <v>-929.36104239915585</v>
      </c>
      <c r="Q34" s="65">
        <v>30</v>
      </c>
      <c r="R34" s="66">
        <f>Inputs!H37</f>
        <v>7.4100000000000001E-4</v>
      </c>
    </row>
    <row r="35" spans="1:18" x14ac:dyDescent="0.25">
      <c r="A35">
        <f t="shared" si="2"/>
        <v>85</v>
      </c>
      <c r="B35">
        <v>31</v>
      </c>
      <c r="C35" s="12">
        <f t="shared" si="3"/>
        <v>5.9854999999999998E-2</v>
      </c>
      <c r="D35" s="10">
        <f t="shared" si="4"/>
        <v>0.94014500000000001</v>
      </c>
      <c r="E35" s="198">
        <f>IF(B35&lt;=$C$2,1,IF(B35=$C$2+1,PRODUCT($D$5:D35),E34*D35))</f>
        <v>0.56677342500823158</v>
      </c>
      <c r="F35" s="10">
        <f t="shared" si="0"/>
        <v>0.29646025766675027</v>
      </c>
      <c r="G35" s="10">
        <f t="shared" si="5"/>
        <v>0.16802579561660688</v>
      </c>
      <c r="I35" s="13">
        <f t="shared" si="1"/>
        <v>2833.867125041158</v>
      </c>
      <c r="J35" s="11">
        <f>(SUM(G36:$G$79)*$I$1)</f>
        <v>4656.985228746591</v>
      </c>
      <c r="K35" s="11">
        <f t="shared" si="6"/>
        <v>-840.12897808303569</v>
      </c>
      <c r="Q35" s="65">
        <v>31</v>
      </c>
      <c r="R35" s="66">
        <f>Inputs!H38</f>
        <v>7.5100000000000004E-4</v>
      </c>
    </row>
    <row r="36" spans="1:18" x14ac:dyDescent="0.25">
      <c r="A36">
        <f t="shared" si="2"/>
        <v>86</v>
      </c>
      <c r="B36">
        <v>32</v>
      </c>
      <c r="C36" s="12">
        <f t="shared" si="3"/>
        <v>6.7514000000000005E-2</v>
      </c>
      <c r="D36" s="10">
        <f t="shared" si="4"/>
        <v>0.93248600000000004</v>
      </c>
      <c r="E36" s="198">
        <f>IF(B36&lt;=$C$2,1,IF(B36=$C$2+1,PRODUCT($D$5:D36),E35*D36))</f>
        <v>0.52850828399222582</v>
      </c>
      <c r="F36" s="10">
        <f t="shared" si="0"/>
        <v>0.28505794006418295</v>
      </c>
      <c r="G36" s="10">
        <f t="shared" si="5"/>
        <v>0.15065548274168009</v>
      </c>
      <c r="I36" s="13">
        <f t="shared" si="1"/>
        <v>2642.5414199611291</v>
      </c>
      <c r="J36" s="11">
        <f>(SUM(G37:$G$79)*$I$1)</f>
        <v>3903.7078150381903</v>
      </c>
      <c r="K36" s="11">
        <f t="shared" si="6"/>
        <v>-753.27741370840067</v>
      </c>
      <c r="Q36" s="65">
        <v>32</v>
      </c>
      <c r="R36" s="66">
        <f>Inputs!H39</f>
        <v>7.54E-4</v>
      </c>
    </row>
    <row r="37" spans="1:18" x14ac:dyDescent="0.25">
      <c r="A37">
        <f t="shared" si="2"/>
        <v>87</v>
      </c>
      <c r="B37">
        <v>33</v>
      </c>
      <c r="C37" s="12">
        <f t="shared" si="3"/>
        <v>7.6340000000000005E-2</v>
      </c>
      <c r="D37" s="10">
        <f t="shared" si="4"/>
        <v>0.92366000000000004</v>
      </c>
      <c r="E37" s="198">
        <f>IF(B37&lt;=$C$2,1,IF(B37=$C$2+1,PRODUCT($D$5:D37),E36*D37))</f>
        <v>0.48816196159225933</v>
      </c>
      <c r="F37" s="10">
        <f t="shared" si="0"/>
        <v>0.27409417313863743</v>
      </c>
      <c r="G37" s="10">
        <f t="shared" si="5"/>
        <v>0.1338023492203656</v>
      </c>
      <c r="I37" s="13">
        <f t="shared" si="1"/>
        <v>2440.8098079612964</v>
      </c>
      <c r="J37" s="11">
        <f>(SUM(G38:$G$79)*$I$1)</f>
        <v>3234.6960689363632</v>
      </c>
      <c r="K37" s="11">
        <f t="shared" si="6"/>
        <v>-669.01174610182716</v>
      </c>
      <c r="Q37" s="65">
        <v>33</v>
      </c>
      <c r="R37" s="66">
        <f>Inputs!H40</f>
        <v>7.5600000000000005E-4</v>
      </c>
    </row>
    <row r="38" spans="1:18" x14ac:dyDescent="0.25">
      <c r="A38">
        <f t="shared" si="2"/>
        <v>88</v>
      </c>
      <c r="B38">
        <v>34</v>
      </c>
      <c r="C38" s="12">
        <f t="shared" si="3"/>
        <v>8.6388000000000006E-2</v>
      </c>
      <c r="D38" s="10">
        <f t="shared" si="4"/>
        <v>0.91361199999999998</v>
      </c>
      <c r="E38" s="198">
        <f>IF(B38&lt;=$C$2,1,IF(B38=$C$2+1,PRODUCT($D$5:D38),E37*D38))</f>
        <v>0.44599062605422723</v>
      </c>
      <c r="F38" s="10">
        <f t="shared" si="0"/>
        <v>0.26355208955638215</v>
      </c>
      <c r="G38" s="10">
        <f t="shared" si="5"/>
        <v>0.11754176141915064</v>
      </c>
      <c r="I38" s="13">
        <f t="shared" si="1"/>
        <v>2229.9531302711362</v>
      </c>
      <c r="J38" s="11">
        <f>(SUM(G39:$G$79)*$I$1)</f>
        <v>2646.9872618406093</v>
      </c>
      <c r="K38" s="11">
        <f t="shared" si="6"/>
        <v>-587.70880709575385</v>
      </c>
      <c r="Q38" s="65">
        <v>34</v>
      </c>
      <c r="R38" s="66">
        <f>Inputs!H41</f>
        <v>7.5600000000000005E-4</v>
      </c>
    </row>
    <row r="39" spans="1:18" x14ac:dyDescent="0.25">
      <c r="A39">
        <f t="shared" si="2"/>
        <v>89</v>
      </c>
      <c r="B39">
        <v>35</v>
      </c>
      <c r="C39" s="12">
        <f t="shared" si="3"/>
        <v>9.7633999999999999E-2</v>
      </c>
      <c r="D39" s="10">
        <f t="shared" si="4"/>
        <v>0.902366</v>
      </c>
      <c r="E39" s="198">
        <f>IF(B39&lt;=$C$2,1,IF(B39=$C$2+1,PRODUCT($D$5:D39),E38*D39))</f>
        <v>0.40244677727004879</v>
      </c>
      <c r="F39" s="10">
        <f t="shared" si="0"/>
        <v>0.25341547072729048</v>
      </c>
      <c r="G39" s="10">
        <f t="shared" si="5"/>
        <v>0.10198623950457045</v>
      </c>
      <c r="I39" s="13">
        <f t="shared" si="1"/>
        <v>2012.2338863502439</v>
      </c>
      <c r="J39" s="11">
        <f>(SUM(G40:$G$79)*$I$1)</f>
        <v>2137.0560643177573</v>
      </c>
      <c r="K39" s="11">
        <f t="shared" si="6"/>
        <v>-509.93119752285202</v>
      </c>
      <c r="Q39" s="65">
        <v>35</v>
      </c>
      <c r="R39" s="66">
        <f>Inputs!H42</f>
        <v>7.5600000000000005E-4</v>
      </c>
    </row>
    <row r="40" spans="1:18" x14ac:dyDescent="0.25">
      <c r="A40">
        <f t="shared" si="2"/>
        <v>90</v>
      </c>
      <c r="B40">
        <v>36</v>
      </c>
      <c r="C40" s="12">
        <f t="shared" si="3"/>
        <v>0.10999299999999999</v>
      </c>
      <c r="D40" s="10">
        <f t="shared" si="4"/>
        <v>0.89000699999999999</v>
      </c>
      <c r="E40" s="198">
        <f>IF(B40&lt;=$C$2,1,IF(B40=$C$2+1,PRODUCT($D$5:D40),E39*D40))</f>
        <v>0.35818044889778433</v>
      </c>
      <c r="F40" s="10">
        <f t="shared" si="0"/>
        <v>0.24366872185316396</v>
      </c>
      <c r="G40" s="10">
        <f t="shared" si="5"/>
        <v>8.7277372175715615E-2</v>
      </c>
      <c r="I40" s="13">
        <f t="shared" si="1"/>
        <v>1790.9022444889217</v>
      </c>
      <c r="J40" s="11">
        <f>(SUM(G41:$G$79)*$I$1)</f>
        <v>1700.6692034391797</v>
      </c>
      <c r="K40" s="11">
        <f t="shared" si="6"/>
        <v>-436.38686087857764</v>
      </c>
      <c r="Q40" s="65">
        <v>36</v>
      </c>
      <c r="R40" s="66">
        <f>Inputs!H43</f>
        <v>7.5600000000000005E-4</v>
      </c>
    </row>
    <row r="41" spans="1:18" x14ac:dyDescent="0.25">
      <c r="A41">
        <f t="shared" si="2"/>
        <v>91</v>
      </c>
      <c r="B41">
        <v>37</v>
      </c>
      <c r="C41" s="12">
        <f t="shared" si="3"/>
        <v>0.12311900000000001</v>
      </c>
      <c r="D41" s="10">
        <f t="shared" si="4"/>
        <v>0.87688100000000002</v>
      </c>
      <c r="E41" s="198">
        <f>IF(B41&lt;=$C$2,1,IF(B41=$C$2+1,PRODUCT($D$5:D41),E40*D41))</f>
        <v>0.31408163020993801</v>
      </c>
      <c r="F41" s="10">
        <f t="shared" si="0"/>
        <v>0.23429684793573452</v>
      </c>
      <c r="G41" s="10">
        <f t="shared" si="5"/>
        <v>7.3588335952705447E-2</v>
      </c>
      <c r="I41" s="13">
        <f t="shared" si="1"/>
        <v>1570.4081510496901</v>
      </c>
      <c r="J41" s="11">
        <f>(SUM(G42:$G$79)*$I$1)</f>
        <v>1332.7275236756523</v>
      </c>
      <c r="K41" s="11">
        <f t="shared" si="6"/>
        <v>-367.94167976352742</v>
      </c>
      <c r="Q41" s="65">
        <v>37</v>
      </c>
      <c r="R41" s="66">
        <f>Inputs!H44</f>
        <v>7.5600000000000005E-4</v>
      </c>
    </row>
    <row r="42" spans="1:18" x14ac:dyDescent="0.25">
      <c r="A42">
        <f t="shared" si="2"/>
        <v>92</v>
      </c>
      <c r="B42">
        <v>38</v>
      </c>
      <c r="C42" s="12">
        <f t="shared" si="3"/>
        <v>0.13716800000000001</v>
      </c>
      <c r="D42" s="10">
        <f t="shared" si="4"/>
        <v>0.86283200000000004</v>
      </c>
      <c r="E42" s="198">
        <f>IF(B42&lt;=$C$2,1,IF(B42=$C$2+1,PRODUCT($D$5:D42),E41*D42))</f>
        <v>0.27099968115730128</v>
      </c>
      <c r="F42" s="10">
        <f t="shared" si="0"/>
        <v>0.22528543070743706</v>
      </c>
      <c r="G42" s="10">
        <f t="shared" si="5"/>
        <v>6.1052279891100736E-2</v>
      </c>
      <c r="I42" s="13">
        <f t="shared" si="1"/>
        <v>1354.9984057865063</v>
      </c>
      <c r="J42" s="11">
        <f>(SUM(G43:$G$79)*$I$1)</f>
        <v>1027.4661242201478</v>
      </c>
      <c r="K42" s="11">
        <f t="shared" si="6"/>
        <v>-305.26139945550449</v>
      </c>
      <c r="Q42" s="65">
        <v>38</v>
      </c>
      <c r="R42" s="66">
        <f>Inputs!H45</f>
        <v>7.5600000000000005E-4</v>
      </c>
    </row>
    <row r="43" spans="1:18" x14ac:dyDescent="0.25">
      <c r="A43">
        <f t="shared" si="2"/>
        <v>93</v>
      </c>
      <c r="B43">
        <v>39</v>
      </c>
      <c r="C43" s="12">
        <f t="shared" si="3"/>
        <v>0.152171</v>
      </c>
      <c r="D43" s="10">
        <f t="shared" si="4"/>
        <v>0.84782899999999994</v>
      </c>
      <c r="E43" s="198">
        <f>IF(B43&lt;=$C$2,1,IF(B43=$C$2+1,PRODUCT($D$5:D43),E42*D43))</f>
        <v>0.22976138867591356</v>
      </c>
      <c r="F43" s="10">
        <f t="shared" si="0"/>
        <v>0.21662060644945874</v>
      </c>
      <c r="G43" s="10">
        <f t="shared" si="5"/>
        <v>4.9771051353646199E-2</v>
      </c>
      <c r="I43" s="13">
        <f t="shared" si="1"/>
        <v>1148.8069433795679</v>
      </c>
      <c r="J43" s="11">
        <f>(SUM(G44:$G$79)*$I$1)</f>
        <v>778.61086745191665</v>
      </c>
      <c r="K43" s="11">
        <f t="shared" si="6"/>
        <v>-248.85525676823113</v>
      </c>
      <c r="Q43" s="65">
        <v>39</v>
      </c>
      <c r="R43" s="66">
        <f>Inputs!H46</f>
        <v>8.0000000000000004E-4</v>
      </c>
    </row>
    <row r="44" spans="1:18" x14ac:dyDescent="0.25">
      <c r="A44">
        <f t="shared" si="2"/>
        <v>94</v>
      </c>
      <c r="B44">
        <v>40</v>
      </c>
      <c r="C44" s="12">
        <f t="shared" si="3"/>
        <v>0.16819400000000001</v>
      </c>
      <c r="D44" s="10">
        <f t="shared" si="4"/>
        <v>0.83180600000000005</v>
      </c>
      <c r="E44" s="198">
        <f>IF(B44&lt;=$C$2,1,IF(B44=$C$2+1,PRODUCT($D$5:D44),E43*D44))</f>
        <v>0.19111690166895695</v>
      </c>
      <c r="F44" s="10">
        <f t="shared" si="0"/>
        <v>0.20828904466294101</v>
      </c>
      <c r="G44" s="10">
        <f t="shared" si="5"/>
        <v>3.9807556867568282E-2</v>
      </c>
      <c r="I44" s="13">
        <f t="shared" si="1"/>
        <v>955.58450834478481</v>
      </c>
      <c r="J44" s="11">
        <f>(SUM(G45:$G$79)*$I$1)</f>
        <v>579.57308311407553</v>
      </c>
      <c r="K44" s="11">
        <f t="shared" si="6"/>
        <v>-199.03778433784112</v>
      </c>
      <c r="Q44" s="65">
        <v>40</v>
      </c>
      <c r="R44" s="66">
        <f>Inputs!H47</f>
        <v>8.5899999999999995E-4</v>
      </c>
    </row>
    <row r="45" spans="1:18" x14ac:dyDescent="0.25">
      <c r="A45">
        <f t="shared" si="2"/>
        <v>95</v>
      </c>
      <c r="B45">
        <v>41</v>
      </c>
      <c r="C45" s="12">
        <f t="shared" si="3"/>
        <v>0.18526000000000001</v>
      </c>
      <c r="D45" s="10">
        <f t="shared" si="4"/>
        <v>0.81474000000000002</v>
      </c>
      <c r="E45" s="198">
        <f>IF(B45&lt;=$C$2,1,IF(B45=$C$2+1,PRODUCT($D$5:D45),E44*D45))</f>
        <v>0.15571058446576599</v>
      </c>
      <c r="F45" s="10">
        <f t="shared" si="0"/>
        <v>0.20027792756052021</v>
      </c>
      <c r="G45" s="10">
        <f t="shared" si="5"/>
        <v>3.1185393156040946E-2</v>
      </c>
      <c r="I45" s="13">
        <f t="shared" si="1"/>
        <v>778.55292232882994</v>
      </c>
      <c r="J45" s="11">
        <f>(SUM(G46:$G$79)*$I$1)</f>
        <v>423.64611733387085</v>
      </c>
      <c r="K45" s="11">
        <f t="shared" si="6"/>
        <v>-155.92696578020468</v>
      </c>
      <c r="Q45" s="65">
        <v>41</v>
      </c>
      <c r="R45" s="66">
        <f>Inputs!H48</f>
        <v>9.2599999999999996E-4</v>
      </c>
    </row>
    <row r="46" spans="1:18" x14ac:dyDescent="0.25">
      <c r="A46">
        <f t="shared" si="2"/>
        <v>96</v>
      </c>
      <c r="B46">
        <v>42</v>
      </c>
      <c r="C46" s="12">
        <f t="shared" si="3"/>
        <v>0.197322</v>
      </c>
      <c r="D46" s="10">
        <f t="shared" si="4"/>
        <v>0.802678</v>
      </c>
      <c r="E46" s="198">
        <f>IF(B46&lt;=$C$2,1,IF(B46=$C$2+1,PRODUCT($D$5:D46),E45*D46))</f>
        <v>0.12498546051781212</v>
      </c>
      <c r="F46" s="10">
        <f t="shared" si="0"/>
        <v>0.19257493034665407</v>
      </c>
      <c r="G46" s="10">
        <f t="shared" si="5"/>
        <v>2.4069066353562152E-2</v>
      </c>
      <c r="I46" s="13">
        <f t="shared" si="1"/>
        <v>624.92730258906056</v>
      </c>
      <c r="J46" s="11">
        <f>(SUM(G47:$G$79)*$I$1)</f>
        <v>303.30078556606009</v>
      </c>
      <c r="K46" s="11">
        <f t="shared" si="6"/>
        <v>-120.34533176781076</v>
      </c>
      <c r="Q46" s="65">
        <v>42</v>
      </c>
      <c r="R46" s="66">
        <f>Inputs!H49</f>
        <v>9.990000000000001E-4</v>
      </c>
    </row>
    <row r="47" spans="1:18" x14ac:dyDescent="0.25">
      <c r="A47">
        <f t="shared" si="2"/>
        <v>97</v>
      </c>
      <c r="B47">
        <v>43</v>
      </c>
      <c r="C47" s="12">
        <f t="shared" si="3"/>
        <v>0.214751</v>
      </c>
      <c r="D47" s="10">
        <f t="shared" si="4"/>
        <v>0.78524899999999997</v>
      </c>
      <c r="E47" s="198">
        <f>IF(B47&lt;=$C$2,1,IF(B47=$C$2+1,PRODUCT($D$5:D47),E46*D47))</f>
        <v>9.8144707886151442E-2</v>
      </c>
      <c r="F47" s="10">
        <f t="shared" si="0"/>
        <v>0.18516820225639813</v>
      </c>
      <c r="G47" s="10">
        <f t="shared" si="5"/>
        <v>1.8173279120258002E-2</v>
      </c>
      <c r="I47" s="13">
        <f t="shared" si="1"/>
        <v>490.72353943075723</v>
      </c>
      <c r="J47" s="11">
        <f>(SUM(G48:$G$79)*$I$1)</f>
        <v>212.43438996477011</v>
      </c>
      <c r="K47" s="11">
        <f t="shared" si="6"/>
        <v>-90.86639560128998</v>
      </c>
      <c r="Q47" s="65">
        <v>43</v>
      </c>
      <c r="R47" s="66">
        <f>Inputs!H50</f>
        <v>1.0690000000000001E-3</v>
      </c>
    </row>
    <row r="48" spans="1:18" x14ac:dyDescent="0.25">
      <c r="A48">
        <f t="shared" si="2"/>
        <v>98</v>
      </c>
      <c r="B48">
        <v>44</v>
      </c>
      <c r="C48" s="12">
        <f t="shared" si="3"/>
        <v>0.23250699999999999</v>
      </c>
      <c r="D48" s="10">
        <f t="shared" si="4"/>
        <v>0.76749299999999998</v>
      </c>
      <c r="E48" s="198">
        <f>IF(B48&lt;=$C$2,1,IF(B48=$C$2+1,PRODUCT($D$5:D48),E47*D48))</f>
        <v>7.5325376289666027E-2</v>
      </c>
      <c r="F48" s="10">
        <f t="shared" si="0"/>
        <v>0.17804634832345972</v>
      </c>
      <c r="G48" s="10">
        <f t="shared" si="5"/>
        <v>1.3411408184465552E-2</v>
      </c>
      <c r="I48" s="13">
        <f t="shared" si="1"/>
        <v>376.62688144833015</v>
      </c>
      <c r="J48" s="11">
        <f>(SUM(G49:$G$79)*$I$1)</f>
        <v>145.37734904244235</v>
      </c>
      <c r="K48" s="11">
        <f t="shared" si="6"/>
        <v>-67.057040922327758</v>
      </c>
      <c r="Q48" s="65">
        <v>44</v>
      </c>
      <c r="R48" s="66">
        <f>Inputs!H51</f>
        <v>1.142E-3</v>
      </c>
    </row>
    <row r="49" spans="1:18" x14ac:dyDescent="0.25">
      <c r="A49">
        <f t="shared" si="2"/>
        <v>99</v>
      </c>
      <c r="B49">
        <v>45</v>
      </c>
      <c r="C49" s="12">
        <f t="shared" si="3"/>
        <v>0.25039699999999998</v>
      </c>
      <c r="D49" s="10">
        <f t="shared" si="4"/>
        <v>0.74960300000000002</v>
      </c>
      <c r="E49" s="198">
        <f>IF(B49&lt;=$C$2,1,IF(B49=$C$2+1,PRODUCT($D$5:D49),E48*D49))</f>
        <v>5.6464128042862521E-2</v>
      </c>
      <c r="F49" s="10">
        <f t="shared" si="0"/>
        <v>0.17119841184948048</v>
      </c>
      <c r="G49" s="10">
        <f t="shared" si="5"/>
        <v>9.6665690474037787E-3</v>
      </c>
      <c r="I49" s="13">
        <f t="shared" si="1"/>
        <v>282.32064021431262</v>
      </c>
      <c r="J49" s="11">
        <f>(SUM(G50:$G$79)*$I$1)</f>
        <v>97.044503805423474</v>
      </c>
      <c r="K49" s="11">
        <f t="shared" si="6"/>
        <v>-48.332845237018873</v>
      </c>
      <c r="Q49" s="65">
        <v>45</v>
      </c>
      <c r="R49" s="66">
        <f>Inputs!H52</f>
        <v>1.219E-3</v>
      </c>
    </row>
    <row r="50" spans="1:18" x14ac:dyDescent="0.25">
      <c r="A50">
        <f t="shared" si="2"/>
        <v>100</v>
      </c>
      <c r="B50">
        <v>46</v>
      </c>
      <c r="C50" s="12">
        <f t="shared" si="3"/>
        <v>0.26860699999999998</v>
      </c>
      <c r="D50" s="10">
        <f t="shared" si="4"/>
        <v>0.73139299999999996</v>
      </c>
      <c r="E50" s="198">
        <f>IF(B50&lt;=$C$2,1,IF(B50=$C$2+1,PRODUCT($D$5:D50),E49*D50))</f>
        <v>4.1297468001653348E-2</v>
      </c>
      <c r="F50" s="10">
        <f t="shared" si="0"/>
        <v>0.1646138575475774</v>
      </c>
      <c r="G50" s="10">
        <f t="shared" si="5"/>
        <v>6.7981355146998004E-3</v>
      </c>
      <c r="I50" s="13">
        <f t="shared" si="1"/>
        <v>206.48734000826673</v>
      </c>
      <c r="J50" s="11">
        <f>(SUM(G51:$G$79)*$I$1)</f>
        <v>63.053826231924461</v>
      </c>
      <c r="K50" s="11">
        <f t="shared" si="6"/>
        <v>-33.990677573499013</v>
      </c>
      <c r="Q50" s="65">
        <v>46</v>
      </c>
      <c r="R50" s="66">
        <f>Inputs!H53</f>
        <v>1.3179999999999999E-3</v>
      </c>
    </row>
    <row r="51" spans="1:18" x14ac:dyDescent="0.25">
      <c r="A51">
        <f t="shared" si="2"/>
        <v>101</v>
      </c>
      <c r="B51">
        <v>47</v>
      </c>
      <c r="C51" s="12">
        <f t="shared" si="3"/>
        <v>0.290016</v>
      </c>
      <c r="D51" s="10">
        <f t="shared" si="4"/>
        <v>0.70998399999999995</v>
      </c>
      <c r="E51" s="198">
        <f>IF(B51&lt;=$C$2,1,IF(B51=$C$2+1,PRODUCT($D$5:D51),E50*D51))</f>
        <v>2.9320541521685849E-2</v>
      </c>
      <c r="F51" s="10">
        <f t="shared" si="0"/>
        <v>0.15828255533420904</v>
      </c>
      <c r="G51" s="10">
        <f t="shared" si="5"/>
        <v>4.6409302358352139E-3</v>
      </c>
      <c r="I51" s="13">
        <f t="shared" si="1"/>
        <v>146.60270760842926</v>
      </c>
      <c r="J51" s="11">
        <f>(SUM(G52:$G$79)*$I$1)</f>
        <v>39.849175052748393</v>
      </c>
      <c r="K51" s="11">
        <f t="shared" si="6"/>
        <v>-23.204651179176068</v>
      </c>
      <c r="Q51" s="65">
        <v>47</v>
      </c>
      <c r="R51" s="66">
        <f>Inputs!H54</f>
        <v>1.454E-3</v>
      </c>
    </row>
    <row r="52" spans="1:18" x14ac:dyDescent="0.25">
      <c r="A52">
        <f t="shared" si="2"/>
        <v>102</v>
      </c>
      <c r="B52">
        <v>48</v>
      </c>
      <c r="C52" s="12">
        <f t="shared" si="3"/>
        <v>0.31184899999999999</v>
      </c>
      <c r="D52" s="10">
        <f t="shared" si="4"/>
        <v>0.68815099999999996</v>
      </c>
      <c r="E52" s="198">
        <f>IF(B52&lt;=$C$2,1,IF(B52=$C$2+1,PRODUCT($D$5:D52),E51*D52))</f>
        <v>2.0176959968689637E-2</v>
      </c>
      <c r="F52" s="10">
        <f t="shared" si="0"/>
        <v>0.15219476474443175</v>
      </c>
      <c r="G52" s="10">
        <f t="shared" si="5"/>
        <v>3.0708276756925361E-3</v>
      </c>
      <c r="I52" s="13">
        <f t="shared" si="1"/>
        <v>100.88479984344818</v>
      </c>
      <c r="J52" s="11">
        <f>(SUM(G53:$G$79)*$I$1)</f>
        <v>24.495036674285718</v>
      </c>
      <c r="K52" s="11">
        <f t="shared" si="6"/>
        <v>-15.354138378462675</v>
      </c>
      <c r="Q52" s="65">
        <v>48</v>
      </c>
      <c r="R52" s="66">
        <f>Inputs!H55</f>
        <v>1.627E-3</v>
      </c>
    </row>
    <row r="53" spans="1:18" x14ac:dyDescent="0.25">
      <c r="A53">
        <f t="shared" si="2"/>
        <v>103</v>
      </c>
      <c r="B53">
        <v>49</v>
      </c>
      <c r="C53" s="12">
        <f t="shared" si="3"/>
        <v>0.33396199999999998</v>
      </c>
      <c r="D53" s="10">
        <f t="shared" si="4"/>
        <v>0.66603800000000002</v>
      </c>
      <c r="E53" s="198">
        <f>IF(B53&lt;=$C$2,1,IF(B53=$C$2+1,PRODUCT($D$5:D53),E52*D53))</f>
        <v>1.3438622063626109E-2</v>
      </c>
      <c r="F53" s="10">
        <f t="shared" si="0"/>
        <v>0.14634111994656898</v>
      </c>
      <c r="G53" s="10">
        <f t="shared" si="5"/>
        <v>1.9666230033297165E-3</v>
      </c>
      <c r="I53" s="13">
        <f t="shared" si="1"/>
        <v>67.193110318130536</v>
      </c>
      <c r="J53" s="11">
        <f>(SUM(G54:$G$79)*$I$1)</f>
        <v>14.661921657637123</v>
      </c>
      <c r="K53" s="11">
        <f t="shared" si="6"/>
        <v>-9.8331150166485948</v>
      </c>
      <c r="Q53" s="65">
        <v>49</v>
      </c>
      <c r="R53" s="66">
        <f>Inputs!H56</f>
        <v>1.8289999999999999E-3</v>
      </c>
    </row>
    <row r="54" spans="1:18" x14ac:dyDescent="0.25">
      <c r="A54">
        <f t="shared" si="2"/>
        <v>104</v>
      </c>
      <c r="B54">
        <v>50</v>
      </c>
      <c r="C54" s="12">
        <f t="shared" si="3"/>
        <v>0.356207</v>
      </c>
      <c r="D54" s="10">
        <f t="shared" si="4"/>
        <v>0.64379300000000006</v>
      </c>
      <c r="E54" s="198">
        <f>IF(B54&lt;=$C$2,1,IF(B54=$C$2+1,PRODUCT($D$5:D54),E53*D54))</f>
        <v>8.6516908142080448E-3</v>
      </c>
      <c r="F54" s="10">
        <f t="shared" si="0"/>
        <v>0.14071261533323939</v>
      </c>
      <c r="G54" s="10">
        <f t="shared" si="5"/>
        <v>1.2174020415217774E-3</v>
      </c>
      <c r="I54" s="13">
        <f t="shared" si="1"/>
        <v>43.258454071040227</v>
      </c>
      <c r="J54" s="11">
        <f>(SUM(G55:$G$79)*$I$1)</f>
        <v>8.5749114500282353</v>
      </c>
      <c r="K54" s="11">
        <f t="shared" si="6"/>
        <v>-6.0870102076088877</v>
      </c>
      <c r="Q54" s="65">
        <v>50</v>
      </c>
      <c r="R54" s="66">
        <f>Inputs!H57</f>
        <v>2.0569999999999998E-3</v>
      </c>
    </row>
    <row r="55" spans="1:18" x14ac:dyDescent="0.25">
      <c r="A55">
        <f t="shared" si="2"/>
        <v>105</v>
      </c>
      <c r="B55">
        <v>51</v>
      </c>
      <c r="C55" s="12">
        <f t="shared" si="3"/>
        <v>0.38</v>
      </c>
      <c r="D55" s="10">
        <f t="shared" si="4"/>
        <v>0.62</v>
      </c>
      <c r="E55" s="198">
        <f>IF(B55&lt;=$C$2,1,IF(B55=$C$2+1,PRODUCT($D$5:D55),E54*D55))</f>
        <v>5.3640483048089877E-3</v>
      </c>
      <c r="F55" s="10">
        <f t="shared" si="0"/>
        <v>0.13530059166657632</v>
      </c>
      <c r="G55" s="10">
        <f t="shared" si="5"/>
        <v>7.257589093687517E-4</v>
      </c>
      <c r="I55" s="13">
        <f t="shared" si="1"/>
        <v>26.820241524044938</v>
      </c>
      <c r="J55" s="11">
        <f>(SUM(G56:$G$79)*$I$1)</f>
        <v>4.9461169031844774</v>
      </c>
      <c r="K55" s="11">
        <f t="shared" si="6"/>
        <v>-3.6287945468437579</v>
      </c>
      <c r="Q55" s="65">
        <v>51</v>
      </c>
      <c r="R55" s="66">
        <f>Inputs!H58</f>
        <v>2.3019999999999998E-3</v>
      </c>
    </row>
    <row r="56" spans="1:18" x14ac:dyDescent="0.25">
      <c r="A56">
        <f t="shared" si="2"/>
        <v>106</v>
      </c>
      <c r="B56">
        <v>52</v>
      </c>
      <c r="C56" s="12">
        <f t="shared" si="3"/>
        <v>0.4</v>
      </c>
      <c r="D56" s="10">
        <f t="shared" si="4"/>
        <v>0.6</v>
      </c>
      <c r="E56" s="198">
        <f>IF(B56&lt;=$C$2,1,IF(B56=$C$2+1,PRODUCT($D$5:D56),E55*D56))</f>
        <v>3.2184289828853926E-3</v>
      </c>
      <c r="F56" s="10">
        <f t="shared" si="0"/>
        <v>0.13009672275632339</v>
      </c>
      <c r="G56" s="10">
        <f t="shared" si="5"/>
        <v>4.1870706309735681E-4</v>
      </c>
      <c r="I56" s="13">
        <f t="shared" si="1"/>
        <v>16.092144914426964</v>
      </c>
      <c r="J56" s="11">
        <f>(SUM(G57:$G$79)*$I$1)</f>
        <v>2.8525815876976934</v>
      </c>
      <c r="K56" s="11">
        <f t="shared" si="6"/>
        <v>-2.093535315486784</v>
      </c>
      <c r="Q56" s="65">
        <v>52</v>
      </c>
      <c r="R56" s="66">
        <f>Inputs!H59</f>
        <v>2.545E-3</v>
      </c>
    </row>
    <row r="57" spans="1:18" x14ac:dyDescent="0.25">
      <c r="A57">
        <f t="shared" si="2"/>
        <v>107</v>
      </c>
      <c r="B57">
        <v>53</v>
      </c>
      <c r="C57" s="12">
        <f t="shared" si="3"/>
        <v>0.4</v>
      </c>
      <c r="D57" s="10">
        <f t="shared" si="4"/>
        <v>0.6</v>
      </c>
      <c r="E57" s="198">
        <f>IF(B57&lt;=$C$2,1,IF(B57=$C$2+1,PRODUCT($D$5:D57),E56*D57))</f>
        <v>1.9310573897312355E-3</v>
      </c>
      <c r="F57" s="10">
        <f t="shared" si="0"/>
        <v>0.12509300265031092</v>
      </c>
      <c r="G57" s="10">
        <f t="shared" si="5"/>
        <v>2.4156176717155193E-4</v>
      </c>
      <c r="I57" s="13">
        <f t="shared" si="1"/>
        <v>9.6552869486561779</v>
      </c>
      <c r="J57" s="11">
        <f>(SUM(G58:$G$79)*$I$1)</f>
        <v>1.6447727518399344</v>
      </c>
      <c r="K57" s="11">
        <f t="shared" si="6"/>
        <v>-1.207808835857759</v>
      </c>
      <c r="Q57" s="65">
        <v>53</v>
      </c>
      <c r="R57" s="66">
        <f>Inputs!H60</f>
        <v>2.7789999999999998E-3</v>
      </c>
    </row>
    <row r="58" spans="1:18" x14ac:dyDescent="0.25">
      <c r="A58">
        <f t="shared" si="2"/>
        <v>108</v>
      </c>
      <c r="B58">
        <v>54</v>
      </c>
      <c r="C58" s="12">
        <f t="shared" si="3"/>
        <v>0.4</v>
      </c>
      <c r="D58" s="10">
        <f t="shared" si="4"/>
        <v>0.6</v>
      </c>
      <c r="E58" s="198">
        <f>IF(B58&lt;=$C$2,1,IF(B58=$C$2+1,PRODUCT($D$5:D58),E57*D58))</f>
        <v>1.1586344338387412E-3</v>
      </c>
      <c r="F58" s="10">
        <f t="shared" si="0"/>
        <v>0.12028173331760666</v>
      </c>
      <c r="G58" s="10">
        <f t="shared" si="5"/>
        <v>1.3936255798358764E-4</v>
      </c>
      <c r="I58" s="13">
        <f t="shared" si="1"/>
        <v>5.7931721691937055</v>
      </c>
      <c r="J58" s="11">
        <f>(SUM(G59:$G$79)*$I$1)</f>
        <v>0.94795996192199594</v>
      </c>
      <c r="K58" s="11">
        <f t="shared" si="6"/>
        <v>-0.69681278991793849</v>
      </c>
      <c r="Q58" s="65">
        <v>54</v>
      </c>
      <c r="R58" s="66">
        <f>Inputs!H61</f>
        <v>3.0109999999999998E-3</v>
      </c>
    </row>
    <row r="59" spans="1:18" x14ac:dyDescent="0.25">
      <c r="A59">
        <f t="shared" si="2"/>
        <v>109</v>
      </c>
      <c r="B59">
        <v>55</v>
      </c>
      <c r="C59" s="12">
        <f t="shared" si="3"/>
        <v>0.4</v>
      </c>
      <c r="D59" s="10">
        <f t="shared" si="4"/>
        <v>0.6</v>
      </c>
      <c r="E59" s="198">
        <f>IF(B59&lt;=$C$2,1,IF(B59=$C$2+1,PRODUCT($D$5:D59),E58*D59))</f>
        <v>6.9518066030324469E-4</v>
      </c>
      <c r="F59" s="10">
        <f t="shared" si="0"/>
        <v>0.11565551280539103</v>
      </c>
      <c r="G59" s="10">
        <f t="shared" si="5"/>
        <v>8.0401475759762117E-5</v>
      </c>
      <c r="I59" s="13">
        <f t="shared" si="1"/>
        <v>3.4759033015162233</v>
      </c>
      <c r="J59" s="11">
        <f>(SUM(G60:$G$79)*$I$1)</f>
        <v>0.54595258312318529</v>
      </c>
      <c r="K59" s="11">
        <f t="shared" si="6"/>
        <v>-0.40200737879881066</v>
      </c>
      <c r="Q59" s="65">
        <v>55</v>
      </c>
      <c r="R59" s="66">
        <f>Inputs!H62</f>
        <v>3.2539999999999999E-3</v>
      </c>
    </row>
    <row r="60" spans="1:18" x14ac:dyDescent="0.25">
      <c r="A60">
        <f t="shared" si="2"/>
        <v>110</v>
      </c>
      <c r="B60">
        <v>56</v>
      </c>
      <c r="C60" s="12">
        <f t="shared" si="3"/>
        <v>0.4</v>
      </c>
      <c r="D60" s="10">
        <f t="shared" si="4"/>
        <v>0.6</v>
      </c>
      <c r="E60" s="198">
        <f>IF(B60&lt;=$C$2,1,IF(B60=$C$2+1,PRODUCT($D$5:D60),E59*D60))</f>
        <v>4.1710839618194681E-4</v>
      </c>
      <c r="F60" s="10">
        <f t="shared" si="0"/>
        <v>0.11120722385133754</v>
      </c>
      <c r="G60" s="10">
        <f t="shared" si="5"/>
        <v>4.638546678447814E-5</v>
      </c>
      <c r="I60" s="13">
        <f t="shared" si="1"/>
        <v>2.085541980909734</v>
      </c>
      <c r="J60" s="11">
        <f>(SUM(G61:$G$79)*$I$1)</f>
        <v>0.31402524920079466</v>
      </c>
      <c r="K60" s="11">
        <f t="shared" si="6"/>
        <v>-0.23192733392239062</v>
      </c>
      <c r="Q60" s="65">
        <v>56</v>
      </c>
      <c r="R60" s="66">
        <f>Inputs!H63</f>
        <v>3.529E-3</v>
      </c>
    </row>
    <row r="61" spans="1:18" x14ac:dyDescent="0.25">
      <c r="A61">
        <f t="shared" si="2"/>
        <v>111</v>
      </c>
      <c r="B61">
        <v>57</v>
      </c>
      <c r="C61" s="12">
        <f t="shared" si="3"/>
        <v>0.4</v>
      </c>
      <c r="D61" s="10">
        <f t="shared" si="4"/>
        <v>0.6</v>
      </c>
      <c r="E61" s="198">
        <f>IF(B61&lt;=$C$2,1,IF(B61=$C$2+1,PRODUCT($D$5:D61),E60*D61))</f>
        <v>2.5026503770916809E-4</v>
      </c>
      <c r="F61" s="10">
        <f t="shared" si="0"/>
        <v>0.10693002293397837</v>
      </c>
      <c r="G61" s="10">
        <f t="shared" si="5"/>
        <v>2.6760846221814306E-5</v>
      </c>
      <c r="I61" s="13">
        <f t="shared" si="1"/>
        <v>1.2513251885458405</v>
      </c>
      <c r="J61" s="11">
        <f>(SUM(G62:$G$79)*$I$1)</f>
        <v>0.18022101809172314</v>
      </c>
      <c r="K61" s="11">
        <f t="shared" si="6"/>
        <v>-0.13380423110907153</v>
      </c>
      <c r="Q61" s="65">
        <v>57</v>
      </c>
      <c r="R61" s="66">
        <f>Inputs!H64</f>
        <v>3.8449999999999999E-3</v>
      </c>
    </row>
    <row r="62" spans="1:18" x14ac:dyDescent="0.25">
      <c r="A62">
        <f t="shared" si="2"/>
        <v>112</v>
      </c>
      <c r="B62">
        <v>58</v>
      </c>
      <c r="C62" s="12">
        <f t="shared" si="3"/>
        <v>0.4</v>
      </c>
      <c r="D62" s="10">
        <f t="shared" si="4"/>
        <v>0.6</v>
      </c>
      <c r="E62" s="198">
        <f>IF(B62&lt;=$C$2,1,IF(B62=$C$2+1,PRODUCT($D$5:D62),E61*D62))</f>
        <v>1.5015902262550086E-4</v>
      </c>
      <c r="F62" s="10">
        <f t="shared" si="0"/>
        <v>0.10281732974420998</v>
      </c>
      <c r="G62" s="10">
        <f t="shared" si="5"/>
        <v>1.543894974335441E-5</v>
      </c>
      <c r="I62" s="13">
        <f t="shared" si="1"/>
        <v>0.75079511312750435</v>
      </c>
      <c r="J62" s="11">
        <f>(SUM(G63:$G$79)*$I$1)</f>
        <v>0.10302626937495105</v>
      </c>
      <c r="K62" s="11">
        <f t="shared" si="6"/>
        <v>-7.7194748716772094E-2</v>
      </c>
      <c r="Q62" s="65">
        <v>58</v>
      </c>
      <c r="R62" s="66">
        <f>Inputs!H65</f>
        <v>4.2129999999999997E-3</v>
      </c>
    </row>
    <row r="63" spans="1:18" x14ac:dyDescent="0.25">
      <c r="A63">
        <f t="shared" si="2"/>
        <v>113</v>
      </c>
      <c r="B63">
        <v>59</v>
      </c>
      <c r="C63" s="12">
        <f t="shared" si="3"/>
        <v>0.4</v>
      </c>
      <c r="D63" s="10">
        <f t="shared" si="4"/>
        <v>0.6</v>
      </c>
      <c r="E63" s="198">
        <f>IF(B63&lt;=$C$2,1,IF(B63=$C$2+1,PRODUCT($D$5:D63),E62*D63))</f>
        <v>9.0095413575300509E-5</v>
      </c>
      <c r="F63" s="10">
        <f t="shared" si="0"/>
        <v>9.8862817061740368E-2</v>
      </c>
      <c r="G63" s="10">
        <f t="shared" si="5"/>
        <v>8.9070863903967737E-6</v>
      </c>
      <c r="I63" s="13">
        <f t="shared" si="1"/>
        <v>0.45047706787650255</v>
      </c>
      <c r="J63" s="11">
        <f>(SUM(G64:$G$79)*$I$1)</f>
        <v>5.8490837422967207E-2</v>
      </c>
      <c r="K63" s="11">
        <f t="shared" si="6"/>
        <v>-4.4535431951983839E-2</v>
      </c>
      <c r="Q63" s="65">
        <v>59</v>
      </c>
      <c r="R63" s="66">
        <f>Inputs!H66</f>
        <v>4.6309999999999997E-3</v>
      </c>
    </row>
    <row r="64" spans="1:18" x14ac:dyDescent="0.25">
      <c r="A64">
        <f t="shared" si="2"/>
        <v>114</v>
      </c>
      <c r="B64">
        <v>60</v>
      </c>
      <c r="C64" s="12">
        <f t="shared" si="3"/>
        <v>0.4</v>
      </c>
      <c r="D64" s="10">
        <f t="shared" si="4"/>
        <v>0.6</v>
      </c>
      <c r="E64" s="198">
        <f>IF(B64&lt;=$C$2,1,IF(B64=$C$2+1,PRODUCT($D$5:D64),E63*D64))</f>
        <v>5.4057248145180301E-5</v>
      </c>
      <c r="F64" s="10">
        <f t="shared" si="0"/>
        <v>9.506040102090417E-2</v>
      </c>
      <c r="G64" s="10">
        <f t="shared" si="5"/>
        <v>5.1387036867673674E-6</v>
      </c>
      <c r="I64" s="13">
        <f t="shared" si="1"/>
        <v>0.27028624072590152</v>
      </c>
      <c r="J64" s="11">
        <f>(SUM(G65:$G$79)*$I$1)</f>
        <v>3.2797318989130367E-2</v>
      </c>
      <c r="K64" s="11">
        <f t="shared" si="6"/>
        <v>-2.569351843383684E-2</v>
      </c>
      <c r="Q64" s="65">
        <v>60</v>
      </c>
      <c r="R64" s="66">
        <f>Inputs!H67</f>
        <v>5.0959999999999998E-3</v>
      </c>
    </row>
    <row r="65" spans="1:18" x14ac:dyDescent="0.25">
      <c r="A65">
        <f t="shared" ref="A65:A70" si="7">B65+$A$4</f>
        <v>115</v>
      </c>
      <c r="B65">
        <v>61</v>
      </c>
      <c r="C65" s="12">
        <f t="shared" ref="C65:C70" si="8">VLOOKUP(A65,$Q$4:$R$124,2,FALSE)</f>
        <v>0.4</v>
      </c>
      <c r="D65" s="10">
        <f t="shared" ref="D65:D70" si="9">1-C65</f>
        <v>0.6</v>
      </c>
      <c r="E65" s="198">
        <f>IF(B65&lt;=$C$2,1,IF(B65=$C$2+1,PRODUCT($D$5:D65),E64*D65))</f>
        <v>3.2434348887108177E-5</v>
      </c>
      <c r="F65" s="10">
        <f t="shared" ref="F65:F70" si="10">IF(D65=0,0,(1+$F$2)^-B65)</f>
        <v>9.1404231750869397E-2</v>
      </c>
      <c r="G65" s="10">
        <f t="shared" ref="G65:G70" si="11">F65*E65</f>
        <v>2.9646367423657887E-6</v>
      </c>
      <c r="I65" s="13">
        <f t="shared" ref="I65:I70" si="12">E65*$I$1</f>
        <v>0.16217174443554089</v>
      </c>
      <c r="J65" s="11">
        <f>(SUM(G66:$G$79)*$I$1)</f>
        <v>1.7974135277301424E-2</v>
      </c>
      <c r="K65" s="11">
        <f t="shared" ref="K65:K70" si="13">J65-J64</f>
        <v>-1.4823183711828943E-2</v>
      </c>
      <c r="Q65" s="65">
        <v>61</v>
      </c>
      <c r="R65" s="66">
        <f>Inputs!H68</f>
        <v>5.6140000000000001E-3</v>
      </c>
    </row>
    <row r="66" spans="1:18" x14ac:dyDescent="0.25">
      <c r="A66">
        <f t="shared" si="7"/>
        <v>116</v>
      </c>
      <c r="B66">
        <v>62</v>
      </c>
      <c r="C66" s="12">
        <f t="shared" si="8"/>
        <v>0.4</v>
      </c>
      <c r="D66" s="10">
        <f t="shared" si="9"/>
        <v>0.6</v>
      </c>
      <c r="E66" s="198">
        <f>IF(B66&lt;=$C$2,1,IF(B66=$C$2+1,PRODUCT($D$5:D66),E65*D66))</f>
        <v>1.9460609332264905E-5</v>
      </c>
      <c r="F66" s="10">
        <f t="shared" si="10"/>
        <v>8.7888684375835968E-2</v>
      </c>
      <c r="G66" s="10">
        <f t="shared" si="11"/>
        <v>1.7103673513648783E-6</v>
      </c>
      <c r="I66" s="13">
        <f t="shared" si="12"/>
        <v>9.7303046661324527E-2</v>
      </c>
      <c r="J66" s="11">
        <f>(SUM(G67:$G$79)*$I$1)</f>
        <v>9.4222985204770321E-3</v>
      </c>
      <c r="K66" s="11">
        <f t="shared" si="13"/>
        <v>-8.5518367568243915E-3</v>
      </c>
      <c r="Q66" s="65">
        <v>62</v>
      </c>
      <c r="R66" s="66">
        <f>Inputs!H69</f>
        <v>6.169E-3</v>
      </c>
    </row>
    <row r="67" spans="1:18" x14ac:dyDescent="0.25">
      <c r="A67">
        <f t="shared" si="7"/>
        <v>117</v>
      </c>
      <c r="B67">
        <v>63</v>
      </c>
      <c r="C67" s="12">
        <f t="shared" si="8"/>
        <v>0.4</v>
      </c>
      <c r="D67" s="10">
        <f t="shared" si="9"/>
        <v>0.6</v>
      </c>
      <c r="E67" s="198">
        <f>IF(B67&lt;=$C$2,1,IF(B67=$C$2+1,PRODUCT($D$5:D67),E66*D67))</f>
        <v>1.1676365599358943E-5</v>
      </c>
      <c r="F67" s="10">
        <f t="shared" si="10"/>
        <v>8.4508350361380741E-2</v>
      </c>
      <c r="G67" s="10">
        <f t="shared" si="11"/>
        <v>9.867503950181989E-7</v>
      </c>
      <c r="I67" s="13">
        <f t="shared" si="12"/>
        <v>5.8381827996794713E-2</v>
      </c>
      <c r="J67" s="11">
        <f>(SUM(G68:$G$79)*$I$1)</f>
        <v>4.4885465453860371E-3</v>
      </c>
      <c r="K67" s="11">
        <f t="shared" si="13"/>
        <v>-4.933751975090995E-3</v>
      </c>
      <c r="Q67" s="65">
        <v>63</v>
      </c>
      <c r="R67" s="66">
        <f>Inputs!H70</f>
        <v>6.7590000000000003E-3</v>
      </c>
    </row>
    <row r="68" spans="1:18" x14ac:dyDescent="0.25">
      <c r="A68">
        <f t="shared" si="7"/>
        <v>118</v>
      </c>
      <c r="B68">
        <v>64</v>
      </c>
      <c r="C68" s="12">
        <f t="shared" si="8"/>
        <v>0.4</v>
      </c>
      <c r="D68" s="10">
        <f t="shared" si="9"/>
        <v>0.6</v>
      </c>
      <c r="E68" s="198">
        <f>IF(B68&lt;=$C$2,1,IF(B68=$C$2+1,PRODUCT($D$5:D68),E67*D68))</f>
        <v>7.0058193596153656E-6</v>
      </c>
      <c r="F68" s="10">
        <f t="shared" si="10"/>
        <v>8.1258029193635312E-2</v>
      </c>
      <c r="G68" s="10">
        <f t="shared" si="11"/>
        <v>5.6927907404896084E-7</v>
      </c>
      <c r="I68" s="13">
        <f t="shared" si="12"/>
        <v>3.5029096798076829E-2</v>
      </c>
      <c r="J68" s="11">
        <f>(SUM(G69:$G$79)*$I$1)</f>
        <v>1.6421511751412328E-3</v>
      </c>
      <c r="K68" s="11">
        <f t="shared" si="13"/>
        <v>-2.8463953702448043E-3</v>
      </c>
      <c r="Q68" s="65">
        <v>64</v>
      </c>
      <c r="R68" s="66">
        <f>Inputs!H71</f>
        <v>7.3980000000000001E-3</v>
      </c>
    </row>
    <row r="69" spans="1:18" x14ac:dyDescent="0.25">
      <c r="A69">
        <f t="shared" si="7"/>
        <v>119</v>
      </c>
      <c r="B69">
        <v>65</v>
      </c>
      <c r="C69" s="12">
        <f t="shared" si="8"/>
        <v>0.4</v>
      </c>
      <c r="D69" s="10">
        <f t="shared" si="9"/>
        <v>0.6</v>
      </c>
      <c r="E69" s="198">
        <f>IF(B69&lt;=$C$2,1,IF(B69=$C$2+1,PRODUCT($D$5:D69),E68*D69))</f>
        <v>4.2034916157692188E-6</v>
      </c>
      <c r="F69" s="10">
        <f t="shared" si="10"/>
        <v>7.8132720378495488E-2</v>
      </c>
      <c r="G69" s="10">
        <f t="shared" si="11"/>
        <v>3.2843023502824658E-7</v>
      </c>
      <c r="I69" s="13">
        <f t="shared" si="12"/>
        <v>2.1017458078846096E-2</v>
      </c>
      <c r="J69" s="11">
        <f>(SUM(G70:$G$79)*$I$1)</f>
        <v>0</v>
      </c>
      <c r="K69" s="11">
        <f t="shared" si="13"/>
        <v>-1.6421511751412328E-3</v>
      </c>
      <c r="Q69" s="65">
        <v>65</v>
      </c>
      <c r="R69" s="66">
        <f>Inputs!H72</f>
        <v>8.1060000000000004E-3</v>
      </c>
    </row>
    <row r="70" spans="1:18" x14ac:dyDescent="0.25">
      <c r="A70">
        <f t="shared" si="7"/>
        <v>120</v>
      </c>
      <c r="B70">
        <v>66</v>
      </c>
      <c r="C70" s="12">
        <f t="shared" si="8"/>
        <v>1</v>
      </c>
      <c r="D70" s="10">
        <f t="shared" si="9"/>
        <v>0</v>
      </c>
      <c r="E70" s="198">
        <f>IF(B70&lt;=$C$2,1,IF(B70=$C$2+1,PRODUCT($D$5:D70),E69*D70))</f>
        <v>0</v>
      </c>
      <c r="F70" s="10">
        <f t="shared" si="10"/>
        <v>0</v>
      </c>
      <c r="G70" s="10">
        <f t="shared" si="11"/>
        <v>0</v>
      </c>
      <c r="I70" s="13">
        <f t="shared" si="12"/>
        <v>0</v>
      </c>
      <c r="J70" s="11">
        <f>(SUM(G71:$G$79)*$I$1)</f>
        <v>0</v>
      </c>
      <c r="K70" s="11">
        <f t="shared" si="13"/>
        <v>0</v>
      </c>
      <c r="Q70" s="65">
        <v>66</v>
      </c>
      <c r="R70" s="66">
        <f>Inputs!H73</f>
        <v>8.548E-3</v>
      </c>
    </row>
    <row r="71" spans="1:18" x14ac:dyDescent="0.25">
      <c r="C71" s="12"/>
      <c r="D71" s="10"/>
      <c r="E71" s="10"/>
      <c r="F71" s="10"/>
      <c r="G71" s="10"/>
      <c r="I71" s="13"/>
      <c r="J71" s="11"/>
      <c r="K71" s="11"/>
      <c r="Q71" s="65">
        <v>67</v>
      </c>
      <c r="R71" s="66">
        <f>Inputs!H74</f>
        <v>9.0760000000000007E-3</v>
      </c>
    </row>
    <row r="72" spans="1:18" x14ac:dyDescent="0.25">
      <c r="C72" s="12"/>
      <c r="D72" s="10"/>
      <c r="E72" s="10"/>
      <c r="F72" s="10"/>
      <c r="G72" s="10"/>
      <c r="I72" s="13"/>
      <c r="J72" s="11"/>
      <c r="K72" s="11"/>
      <c r="Q72" s="65">
        <v>68</v>
      </c>
      <c r="R72" s="66">
        <f>Inputs!H75</f>
        <v>9.7079999999999996E-3</v>
      </c>
    </row>
    <row r="73" spans="1:18" x14ac:dyDescent="0.25">
      <c r="C73" s="12"/>
      <c r="D73" s="10"/>
      <c r="E73" s="10"/>
      <c r="F73" s="10"/>
      <c r="G73" s="10"/>
      <c r="I73" s="13"/>
      <c r="J73" s="11"/>
      <c r="K73" s="11"/>
      <c r="Q73" s="65">
        <v>69</v>
      </c>
      <c r="R73" s="66">
        <f>Inputs!H76</f>
        <v>1.0463E-2</v>
      </c>
    </row>
    <row r="74" spans="1:18" x14ac:dyDescent="0.25">
      <c r="C74" s="12"/>
      <c r="D74" s="10"/>
      <c r="E74" s="10"/>
      <c r="F74" s="10"/>
      <c r="G74" s="10"/>
      <c r="I74" s="13"/>
      <c r="J74" s="11"/>
      <c r="K74" s="11"/>
      <c r="Q74" s="65">
        <v>70</v>
      </c>
      <c r="R74" s="66">
        <f>Inputs!H77</f>
        <v>1.1357000000000001E-2</v>
      </c>
    </row>
    <row r="75" spans="1:18" x14ac:dyDescent="0.25">
      <c r="C75" s="12"/>
      <c r="D75" s="10"/>
      <c r="E75" s="10"/>
      <c r="F75" s="10"/>
      <c r="G75" s="10"/>
      <c r="I75" s="13"/>
      <c r="J75" s="11"/>
      <c r="K75" s="11"/>
      <c r="Q75" s="65">
        <v>71</v>
      </c>
      <c r="R75" s="66">
        <f>Inputs!H78</f>
        <v>1.2418E-2</v>
      </c>
    </row>
    <row r="76" spans="1:18" x14ac:dyDescent="0.25">
      <c r="C76" s="12"/>
      <c r="D76" s="10"/>
      <c r="E76" s="10"/>
      <c r="F76" s="10"/>
      <c r="G76" s="10"/>
      <c r="I76" s="13"/>
      <c r="J76" s="11"/>
      <c r="K76" s="11"/>
      <c r="Q76" s="65">
        <v>72</v>
      </c>
      <c r="R76" s="66">
        <f>Inputs!H79</f>
        <v>1.3675E-2</v>
      </c>
    </row>
    <row r="77" spans="1:18" x14ac:dyDescent="0.25">
      <c r="C77" s="12"/>
      <c r="D77" s="10"/>
      <c r="E77" s="10"/>
      <c r="F77" s="10"/>
      <c r="G77" s="10"/>
      <c r="I77" s="13"/>
      <c r="J77" s="11"/>
      <c r="K77" s="11"/>
      <c r="Q77" s="65">
        <v>73</v>
      </c>
      <c r="R77" s="66">
        <f>Inputs!H80</f>
        <v>1.515E-2</v>
      </c>
    </row>
    <row r="78" spans="1:18" x14ac:dyDescent="0.25">
      <c r="C78" s="12"/>
      <c r="D78" s="10"/>
      <c r="E78" s="10"/>
      <c r="F78" s="10"/>
      <c r="G78" s="10"/>
      <c r="I78" s="13"/>
      <c r="J78" s="11"/>
      <c r="K78" s="11"/>
      <c r="Q78" s="65">
        <v>74</v>
      </c>
      <c r="R78" s="66">
        <f>Inputs!H81</f>
        <v>1.686E-2</v>
      </c>
    </row>
    <row r="79" spans="1:18" x14ac:dyDescent="0.25">
      <c r="C79" s="12"/>
      <c r="D79" s="10"/>
      <c r="E79" s="10"/>
      <c r="F79" s="10"/>
      <c r="G79" s="10"/>
      <c r="I79" s="13"/>
      <c r="J79" s="11"/>
      <c r="K79" s="11"/>
      <c r="Q79" s="65">
        <v>75</v>
      </c>
      <c r="R79" s="66">
        <f>Inputs!H82</f>
        <v>1.8814999999999998E-2</v>
      </c>
    </row>
    <row r="80" spans="1: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25"/>
    </row>
    <row r="127" spans="3:18" x14ac:dyDescent="0.25">
      <c r="C127" s="35"/>
      <c r="D127" s="35"/>
    </row>
    <row r="128" spans="3:18" x14ac:dyDescent="0.25">
      <c r="C128" s="35"/>
      <c r="D128" s="35"/>
    </row>
    <row r="129" spans="3:4" x14ac:dyDescent="0.25">
      <c r="C129" s="35"/>
      <c r="D129" s="35"/>
    </row>
    <row r="130" spans="3:4" x14ac:dyDescent="0.25">
      <c r="C130" s="35"/>
      <c r="D130" s="35"/>
    </row>
    <row r="131" spans="3:4" x14ac:dyDescent="0.25">
      <c r="C131" s="35"/>
      <c r="D131" s="35"/>
    </row>
    <row r="132" spans="3:4" x14ac:dyDescent="0.25">
      <c r="C132" s="35"/>
      <c r="D132" s="35"/>
    </row>
    <row r="133" spans="3:4" x14ac:dyDescent="0.25">
      <c r="C133" s="35"/>
      <c r="D133" s="35"/>
    </row>
    <row r="135" spans="3:4" x14ac:dyDescent="0.25">
      <c r="C135" s="25"/>
    </row>
    <row r="136" spans="3:4" x14ac:dyDescent="0.25">
      <c r="C136" s="25"/>
    </row>
    <row r="137" spans="3:4" x14ac:dyDescent="0.25">
      <c r="C137" s="25"/>
    </row>
    <row r="138" spans="3:4" x14ac:dyDescent="0.25">
      <c r="C138" s="25"/>
    </row>
    <row r="139" spans="3:4" x14ac:dyDescent="0.25">
      <c r="C139" s="25"/>
    </row>
    <row r="140" spans="3:4" x14ac:dyDescent="0.25">
      <c r="C140" s="25"/>
    </row>
    <row r="141" spans="3:4" x14ac:dyDescent="0.25">
      <c r="C141" s="25"/>
    </row>
    <row r="142" spans="3:4" x14ac:dyDescent="0.25">
      <c r="C142" s="25"/>
    </row>
    <row r="143" spans="3:4" x14ac:dyDescent="0.25">
      <c r="C143" s="25"/>
    </row>
    <row r="144" spans="3:4"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70">
    <cfRule type="cellIs" dxfId="32" priority="1" operator="equal">
      <formula>1</formula>
    </cfRule>
  </conditionalFormatting>
  <hyperlinks>
    <hyperlink ref="J1" location="'Read Me'!A1" display="Return to 'Read Me'"/>
    <hyperlink ref="J2" location="Summary!A1" display="Return to 'Summary'"/>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21" workbookViewId="0">
      <selection activeCell="B126" sqref="B126:D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138</v>
      </c>
      <c r="I1" s="3">
        <v>5000</v>
      </c>
      <c r="J1" s="181" t="s">
        <v>173</v>
      </c>
      <c r="L1" s="1"/>
      <c r="M1" s="4"/>
      <c r="N1" s="4"/>
      <c r="O1" s="4"/>
      <c r="P1" s="4"/>
      <c r="Q1" s="64"/>
      <c r="R1" s="28"/>
    </row>
    <row r="2" spans="1:18" ht="15.75" customHeight="1" thickBot="1" x14ac:dyDescent="0.3">
      <c r="B2" t="s">
        <v>227</v>
      </c>
      <c r="C2">
        <v>15</v>
      </c>
      <c r="F2" s="5">
        <f>'Asset and Liability Durations'!N10</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+SUMPRODUCT(B5:B70,I5:I70,F5:F70)/SUMPRODUCT(F5:F70,I5:I70)</f>
        <v>13.223399931106323</v>
      </c>
      <c r="N3" s="10"/>
      <c r="O3" s="10"/>
      <c r="P3" s="10"/>
      <c r="Q3" s="31"/>
      <c r="R3" s="32"/>
    </row>
    <row r="4" spans="1:18" x14ac:dyDescent="0.25">
      <c r="A4">
        <v>54</v>
      </c>
      <c r="B4">
        <v>0</v>
      </c>
      <c r="C4" s="8"/>
      <c r="D4" s="7"/>
      <c r="E4" s="7"/>
      <c r="F4" s="7"/>
      <c r="G4" s="10">
        <v>1</v>
      </c>
      <c r="J4" s="11">
        <f>(SUM(G5:$G$79)*$I$1)</f>
        <v>85538.150214040928</v>
      </c>
      <c r="Q4" s="65">
        <v>0</v>
      </c>
      <c r="R4" s="66">
        <f>Inputs!H7</f>
        <v>1.6050000000000001E-3</v>
      </c>
    </row>
    <row r="5" spans="1:18" ht="15.75" thickBot="1" x14ac:dyDescent="0.3">
      <c r="A5">
        <f>B5+$A$4</f>
        <v>55</v>
      </c>
      <c r="B5">
        <v>1</v>
      </c>
      <c r="C5" s="12">
        <f>VLOOKUP(A5,$Q$4:$R$124,2,FALSE)</f>
        <v>3.2539999999999999E-3</v>
      </c>
      <c r="D5" s="10">
        <f>1-C5</f>
        <v>0.99674600000000002</v>
      </c>
      <c r="E5" s="198">
        <f>IF(B5&lt;=$C$2,1,IF(B5=$C$2+1,PRODUCT($D$5:D5),E4*D5))</f>
        <v>1</v>
      </c>
      <c r="F5" s="10">
        <f t="shared" ref="F5:F68" si="0">IF(D5=0,0,(1+$F$2)^-B5)</f>
        <v>0.96153846153846145</v>
      </c>
      <c r="G5" s="10">
        <f>F5*E5</f>
        <v>0.96153846153846145</v>
      </c>
      <c r="I5" s="13">
        <f t="shared" ref="I5:I68" si="1">E5*$I$1</f>
        <v>5000</v>
      </c>
      <c r="J5" s="11">
        <f>(SUM(G6:$G$79)*$I$1)</f>
        <v>80730.457906348631</v>
      </c>
      <c r="K5" s="11">
        <f>J5-J4</f>
        <v>-4807.6923076922976</v>
      </c>
      <c r="L5" s="14" t="s">
        <v>16</v>
      </c>
      <c r="M5" s="14" t="s">
        <v>17</v>
      </c>
      <c r="N5" s="14" t="s">
        <v>18</v>
      </c>
      <c r="O5" s="14" t="s">
        <v>47</v>
      </c>
      <c r="Q5" s="65">
        <v>1</v>
      </c>
      <c r="R5" s="66">
        <f>Inputs!H8</f>
        <v>4.0099999999999999E-4</v>
      </c>
    </row>
    <row r="6" spans="1:18" x14ac:dyDescent="0.25">
      <c r="A6">
        <f t="shared" ref="A6:A69" si="2">B6+$A$4</f>
        <v>56</v>
      </c>
      <c r="B6">
        <v>2</v>
      </c>
      <c r="C6" s="12">
        <f t="shared" ref="C6:C69" si="3">VLOOKUP(A6,$Q$4:$R$124,2,FALSE)</f>
        <v>3.529E-3</v>
      </c>
      <c r="D6" s="10">
        <f t="shared" ref="D6:D69" si="4">1-C6</f>
        <v>0.996471</v>
      </c>
      <c r="E6" s="198">
        <f>IF(B6&lt;=$C$2,1,IF(B6=$C$2+1,PRODUCT($D$5:D6),E5*D6))</f>
        <v>1</v>
      </c>
      <c r="F6" s="10">
        <f t="shared" si="0"/>
        <v>0.92455621301775137</v>
      </c>
      <c r="G6" s="10">
        <f t="shared" ref="G6:G69" si="5">F6*E6</f>
        <v>0.92455621301775137</v>
      </c>
      <c r="I6" s="13">
        <f t="shared" si="1"/>
        <v>5000</v>
      </c>
      <c r="J6" s="11">
        <f>(SUM(G7:$G$79)*$I$1)</f>
        <v>76107.676841259905</v>
      </c>
      <c r="K6" s="11">
        <f t="shared" ref="K6:K69" si="6">J6-J5</f>
        <v>-4622.7810650887259</v>
      </c>
      <c r="L6" s="14">
        <v>2</v>
      </c>
      <c r="M6" s="54" t="s">
        <v>44</v>
      </c>
      <c r="N6" s="15">
        <f>SUM(I5:I7)</f>
        <v>15000</v>
      </c>
      <c r="O6" s="16">
        <f>N6/SUM($N$6:$N$9)</f>
        <v>9.6493772902615502E-2</v>
      </c>
      <c r="Q6" s="65">
        <v>2</v>
      </c>
      <c r="R6" s="66">
        <f>Inputs!H9</f>
        <v>2.7500000000000002E-4</v>
      </c>
    </row>
    <row r="7" spans="1:18" x14ac:dyDescent="0.25">
      <c r="A7">
        <f t="shared" si="2"/>
        <v>57</v>
      </c>
      <c r="B7">
        <v>3</v>
      </c>
      <c r="C7" s="12">
        <f t="shared" si="3"/>
        <v>3.8449999999999999E-3</v>
      </c>
      <c r="D7" s="10">
        <f t="shared" si="4"/>
        <v>0.99615500000000001</v>
      </c>
      <c r="E7" s="198">
        <f>IF(B7&lt;=$C$2,1,IF(B7=$C$2+1,PRODUCT($D$5:D7),E6*D7))</f>
        <v>1</v>
      </c>
      <c r="F7" s="10">
        <f t="shared" si="0"/>
        <v>0.88899635867091487</v>
      </c>
      <c r="G7" s="10">
        <f t="shared" si="5"/>
        <v>0.88899635867091487</v>
      </c>
      <c r="I7" s="13">
        <f t="shared" si="1"/>
        <v>5000</v>
      </c>
      <c r="J7" s="11">
        <f>(SUM(G8:$G$79)*$I$1)</f>
        <v>71662.695047905334</v>
      </c>
      <c r="K7" s="11">
        <f t="shared" si="6"/>
        <v>-4444.981793354571</v>
      </c>
      <c r="L7" s="14">
        <v>5</v>
      </c>
      <c r="M7" s="19" t="s">
        <v>45</v>
      </c>
      <c r="N7" s="17">
        <f>SUM(I8:I11)</f>
        <v>20000</v>
      </c>
      <c r="O7" s="18">
        <f>N7/SUM($N$6:$N$9)</f>
        <v>0.128658363870154</v>
      </c>
      <c r="Q7" s="65">
        <v>3</v>
      </c>
      <c r="R7" s="66">
        <f>Inputs!H10</f>
        <v>2.2900000000000001E-4</v>
      </c>
    </row>
    <row r="8" spans="1:18" x14ac:dyDescent="0.25">
      <c r="A8">
        <f t="shared" si="2"/>
        <v>58</v>
      </c>
      <c r="B8">
        <v>4</v>
      </c>
      <c r="C8" s="12">
        <f t="shared" si="3"/>
        <v>4.2129999999999997E-3</v>
      </c>
      <c r="D8" s="10">
        <f t="shared" si="4"/>
        <v>0.99578699999999998</v>
      </c>
      <c r="E8" s="198">
        <f>IF(B8&lt;=$C$2,1,IF(B8=$C$2+1,PRODUCT($D$5:D8),E7*D8))</f>
        <v>1</v>
      </c>
      <c r="F8" s="10">
        <f t="shared" si="0"/>
        <v>0.85480419102972571</v>
      </c>
      <c r="G8" s="10">
        <f t="shared" si="5"/>
        <v>0.85480419102972571</v>
      </c>
      <c r="I8" s="13">
        <f t="shared" si="1"/>
        <v>5000</v>
      </c>
      <c r="J8" s="11">
        <f>(SUM(G9:$G$79)*$I$1)</f>
        <v>67388.674092756715</v>
      </c>
      <c r="K8" s="11">
        <f t="shared" si="6"/>
        <v>-4274.0209551486187</v>
      </c>
      <c r="L8" s="14">
        <v>10</v>
      </c>
      <c r="M8" s="19" t="s">
        <v>46</v>
      </c>
      <c r="N8" s="17">
        <f>SUM(I12:I19)</f>
        <v>40000</v>
      </c>
      <c r="O8" s="18">
        <f>N8/SUM($N$6:$N$9)</f>
        <v>0.257316727740308</v>
      </c>
      <c r="Q8" s="65">
        <v>4</v>
      </c>
      <c r="R8" s="66">
        <f>Inputs!H11</f>
        <v>1.74E-4</v>
      </c>
    </row>
    <row r="9" spans="1:18" ht="15.75" thickBot="1" x14ac:dyDescent="0.3">
      <c r="A9">
        <f t="shared" si="2"/>
        <v>59</v>
      </c>
      <c r="B9">
        <v>5</v>
      </c>
      <c r="C9" s="12">
        <f t="shared" si="3"/>
        <v>4.6309999999999997E-3</v>
      </c>
      <c r="D9" s="10">
        <f t="shared" si="4"/>
        <v>0.99536899999999995</v>
      </c>
      <c r="E9" s="198">
        <f>IF(B9&lt;=$C$2,1,IF(B9=$C$2+1,PRODUCT($D$5:D9),E8*D9))</f>
        <v>1</v>
      </c>
      <c r="F9" s="10">
        <f t="shared" si="0"/>
        <v>0.82192710675935154</v>
      </c>
      <c r="G9" s="10">
        <f t="shared" si="5"/>
        <v>0.82192710675935154</v>
      </c>
      <c r="I9" s="13">
        <f t="shared" si="1"/>
        <v>5000</v>
      </c>
      <c r="J9" s="11">
        <f>(SUM(G10:$G$79)*$I$1)</f>
        <v>63279.038558959954</v>
      </c>
      <c r="K9" s="11">
        <f t="shared" si="6"/>
        <v>-4109.6355337967616</v>
      </c>
      <c r="L9" s="14">
        <v>30</v>
      </c>
      <c r="M9" s="20" t="s">
        <v>48</v>
      </c>
      <c r="N9" s="21">
        <f>SUM(I20:I70)</f>
        <v>80450.445648326611</v>
      </c>
      <c r="O9" s="22">
        <f>N9/SUM($N$6:$N$9)</f>
        <v>0.51753113548692264</v>
      </c>
      <c r="Q9" s="65">
        <v>5</v>
      </c>
      <c r="R9" s="66">
        <f>Inputs!H12</f>
        <v>1.6799999999999999E-4</v>
      </c>
    </row>
    <row r="10" spans="1:18" x14ac:dyDescent="0.25">
      <c r="A10">
        <f t="shared" si="2"/>
        <v>60</v>
      </c>
      <c r="B10">
        <v>6</v>
      </c>
      <c r="C10" s="12">
        <f t="shared" si="3"/>
        <v>5.0959999999999998E-3</v>
      </c>
      <c r="D10" s="10">
        <f t="shared" si="4"/>
        <v>0.99490400000000001</v>
      </c>
      <c r="E10" s="198">
        <f>IF(B10&lt;=$C$2,1,IF(B10=$C$2+1,PRODUCT($D$5:D10),E9*D10))</f>
        <v>1</v>
      </c>
      <c r="F10" s="10">
        <f t="shared" si="0"/>
        <v>0.79031452573014571</v>
      </c>
      <c r="G10" s="10">
        <f t="shared" si="5"/>
        <v>0.79031452573014571</v>
      </c>
      <c r="I10" s="13">
        <f t="shared" si="1"/>
        <v>5000</v>
      </c>
      <c r="J10" s="11">
        <f>(SUM(G11:$G$79)*$I$1)</f>
        <v>59327.465930309241</v>
      </c>
      <c r="K10" s="11">
        <f t="shared" si="6"/>
        <v>-3951.5726286507124</v>
      </c>
      <c r="L10" s="53">
        <f>+SUMPRODUCT(L6:L9,O6:O9)</f>
        <v>18.935380707166757</v>
      </c>
      <c r="O10" s="23">
        <f>SUM(O6:O9)</f>
        <v>1.0000000000000002</v>
      </c>
      <c r="Q10" s="65">
        <v>6</v>
      </c>
      <c r="R10" s="66">
        <f>Inputs!H13</f>
        <v>1.65E-4</v>
      </c>
    </row>
    <row r="11" spans="1:18" x14ac:dyDescent="0.25">
      <c r="A11">
        <f t="shared" si="2"/>
        <v>61</v>
      </c>
      <c r="B11">
        <v>7</v>
      </c>
      <c r="C11" s="12">
        <f t="shared" si="3"/>
        <v>5.6140000000000001E-3</v>
      </c>
      <c r="D11" s="10">
        <f t="shared" si="4"/>
        <v>0.99438599999999999</v>
      </c>
      <c r="E11" s="198">
        <f>IF(B11&lt;=$C$2,1,IF(B11=$C$2+1,PRODUCT($D$5:D11),E10*D11))</f>
        <v>1</v>
      </c>
      <c r="F11" s="10">
        <f t="shared" si="0"/>
        <v>0.75991781320206331</v>
      </c>
      <c r="G11" s="10">
        <f t="shared" si="5"/>
        <v>0.75991781320206331</v>
      </c>
      <c r="I11" s="13">
        <f t="shared" si="1"/>
        <v>5000</v>
      </c>
      <c r="J11" s="11">
        <f>(SUM(G12:$G$79)*$I$1)</f>
        <v>55527.876864298931</v>
      </c>
      <c r="K11" s="11">
        <f t="shared" si="6"/>
        <v>-3799.5890660103105</v>
      </c>
      <c r="Q11" s="65">
        <v>7</v>
      </c>
      <c r="R11" s="66">
        <f>Inputs!H14</f>
        <v>1.5899999999999999E-4</v>
      </c>
    </row>
    <row r="12" spans="1:18" x14ac:dyDescent="0.25">
      <c r="A12">
        <f t="shared" si="2"/>
        <v>62</v>
      </c>
      <c r="B12">
        <v>8</v>
      </c>
      <c r="C12" s="12">
        <f t="shared" si="3"/>
        <v>6.169E-3</v>
      </c>
      <c r="D12" s="10">
        <f t="shared" si="4"/>
        <v>0.99383100000000002</v>
      </c>
      <c r="E12" s="198">
        <f>IF(B12&lt;=$C$2,1,IF(B12=$C$2+1,PRODUCT($D$5:D12),E11*D12))</f>
        <v>1</v>
      </c>
      <c r="F12" s="10">
        <f t="shared" si="0"/>
        <v>0.73069020500198378</v>
      </c>
      <c r="G12" s="10">
        <f t="shared" si="5"/>
        <v>0.73069020500198378</v>
      </c>
      <c r="I12" s="13">
        <f t="shared" si="1"/>
        <v>5000</v>
      </c>
      <c r="J12" s="11">
        <f>(SUM(G13:$G$79)*$I$1)</f>
        <v>51874.425839289004</v>
      </c>
      <c r="K12" s="11">
        <f t="shared" si="6"/>
        <v>-3653.4510250099265</v>
      </c>
      <c r="Q12" s="65">
        <v>8</v>
      </c>
      <c r="R12" s="66">
        <f>Inputs!H15</f>
        <v>1.4300000000000001E-4</v>
      </c>
    </row>
    <row r="13" spans="1:18" x14ac:dyDescent="0.25">
      <c r="A13">
        <f t="shared" si="2"/>
        <v>63</v>
      </c>
      <c r="B13">
        <v>9</v>
      </c>
      <c r="C13" s="12">
        <f t="shared" si="3"/>
        <v>6.7590000000000003E-3</v>
      </c>
      <c r="D13" s="10">
        <f t="shared" si="4"/>
        <v>0.99324100000000004</v>
      </c>
      <c r="E13" s="198">
        <f>IF(B13&lt;=$C$2,1,IF(B13=$C$2+1,PRODUCT($D$5:D13),E12*D13))</f>
        <v>1</v>
      </c>
      <c r="F13" s="10">
        <f t="shared" si="0"/>
        <v>0.70258673557883045</v>
      </c>
      <c r="G13" s="10">
        <f t="shared" si="5"/>
        <v>0.70258673557883045</v>
      </c>
      <c r="I13" s="13">
        <f t="shared" si="1"/>
        <v>5000</v>
      </c>
      <c r="J13" s="11">
        <f>(SUM(G14:$G$79)*$I$1)</f>
        <v>48361.492161394846</v>
      </c>
      <c r="K13" s="11">
        <f t="shared" si="6"/>
        <v>-3512.9336778941579</v>
      </c>
      <c r="Q13" s="65">
        <v>9</v>
      </c>
      <c r="R13" s="66">
        <f>Inputs!H16</f>
        <v>1.2899999999999999E-4</v>
      </c>
    </row>
    <row r="14" spans="1:18" x14ac:dyDescent="0.25">
      <c r="A14">
        <f t="shared" si="2"/>
        <v>64</v>
      </c>
      <c r="B14">
        <v>10</v>
      </c>
      <c r="C14" s="12">
        <f t="shared" si="3"/>
        <v>7.3980000000000001E-3</v>
      </c>
      <c r="D14" s="10">
        <f t="shared" si="4"/>
        <v>0.99260199999999998</v>
      </c>
      <c r="E14" s="198">
        <f>IF(B14&lt;=$C$2,1,IF(B14=$C$2+1,PRODUCT($D$5:D14),E13*D14))</f>
        <v>1</v>
      </c>
      <c r="F14" s="10">
        <f t="shared" si="0"/>
        <v>0.67556416882579851</v>
      </c>
      <c r="G14" s="10">
        <f t="shared" si="5"/>
        <v>0.67556416882579851</v>
      </c>
      <c r="I14" s="13">
        <f t="shared" si="1"/>
        <v>5000</v>
      </c>
      <c r="J14" s="11">
        <f>(SUM(G15:$G$79)*$I$1)</f>
        <v>44983.671317265849</v>
      </c>
      <c r="K14" s="11">
        <f t="shared" si="6"/>
        <v>-3377.8208441289971</v>
      </c>
      <c r="Q14" s="65">
        <v>10</v>
      </c>
      <c r="R14" s="66">
        <f>Inputs!H17</f>
        <v>1.13E-4</v>
      </c>
    </row>
    <row r="15" spans="1:18" x14ac:dyDescent="0.25">
      <c r="A15">
        <f t="shared" si="2"/>
        <v>65</v>
      </c>
      <c r="B15">
        <v>11</v>
      </c>
      <c r="C15" s="12">
        <f t="shared" si="3"/>
        <v>8.1060000000000004E-3</v>
      </c>
      <c r="D15" s="10">
        <f t="shared" si="4"/>
        <v>0.99189400000000005</v>
      </c>
      <c r="E15" s="198">
        <f>IF(B15&lt;=$C$2,1,IF(B15=$C$2+1,PRODUCT($D$5:D15),E14*D15))</f>
        <v>1</v>
      </c>
      <c r="F15" s="10">
        <f t="shared" si="0"/>
        <v>0.6495809315632679</v>
      </c>
      <c r="G15" s="10">
        <f t="shared" si="5"/>
        <v>0.6495809315632679</v>
      </c>
      <c r="I15" s="13">
        <f t="shared" si="1"/>
        <v>5000</v>
      </c>
      <c r="J15" s="11">
        <f>(SUM(G16:$G$79)*$I$1)</f>
        <v>41735.766659449502</v>
      </c>
      <c r="K15" s="11">
        <f t="shared" si="6"/>
        <v>-3247.904657816347</v>
      </c>
      <c r="Q15" s="65">
        <v>11</v>
      </c>
      <c r="R15" s="66">
        <f>Inputs!H18</f>
        <v>1.11E-4</v>
      </c>
    </row>
    <row r="16" spans="1:18" x14ac:dyDescent="0.25">
      <c r="A16">
        <f t="shared" si="2"/>
        <v>66</v>
      </c>
      <c r="B16">
        <v>12</v>
      </c>
      <c r="C16" s="12">
        <f t="shared" si="3"/>
        <v>8.548E-3</v>
      </c>
      <c r="D16" s="10">
        <f t="shared" si="4"/>
        <v>0.991452</v>
      </c>
      <c r="E16" s="198">
        <f>IF(B16&lt;=$C$2,1,IF(B16=$C$2+1,PRODUCT($D$5:D16),E15*D16))</f>
        <v>1</v>
      </c>
      <c r="F16" s="10">
        <f t="shared" si="0"/>
        <v>0.62459704958006512</v>
      </c>
      <c r="G16" s="10">
        <f t="shared" si="5"/>
        <v>0.62459704958006512</v>
      </c>
      <c r="I16" s="13">
        <f t="shared" si="1"/>
        <v>5000</v>
      </c>
      <c r="J16" s="11">
        <f>(SUM(G17:$G$79)*$I$1)</f>
        <v>38612.781411549142</v>
      </c>
      <c r="K16" s="11">
        <f t="shared" si="6"/>
        <v>-3122.9852479003603</v>
      </c>
      <c r="Q16" s="65">
        <v>12</v>
      </c>
      <c r="R16" s="66">
        <f>Inputs!H19</f>
        <v>1.3200000000000001E-4</v>
      </c>
    </row>
    <row r="17" spans="1:18" x14ac:dyDescent="0.25">
      <c r="A17">
        <f t="shared" si="2"/>
        <v>67</v>
      </c>
      <c r="B17">
        <v>13</v>
      </c>
      <c r="C17" s="12">
        <f t="shared" si="3"/>
        <v>9.0760000000000007E-3</v>
      </c>
      <c r="D17" s="10">
        <f t="shared" si="4"/>
        <v>0.99092400000000003</v>
      </c>
      <c r="E17" s="198">
        <f>IF(B17&lt;=$C$2,1,IF(B17=$C$2+1,PRODUCT($D$5:D17),E16*D17))</f>
        <v>1</v>
      </c>
      <c r="F17" s="10">
        <f t="shared" si="0"/>
        <v>0.600574086134678</v>
      </c>
      <c r="G17" s="10">
        <f t="shared" si="5"/>
        <v>0.600574086134678</v>
      </c>
      <c r="I17" s="13">
        <f t="shared" si="1"/>
        <v>5000</v>
      </c>
      <c r="J17" s="11">
        <f>(SUM(G18:$G$79)*$I$1)</f>
        <v>35609.910980875749</v>
      </c>
      <c r="K17" s="11">
        <f t="shared" si="6"/>
        <v>-3002.8704306733925</v>
      </c>
      <c r="Q17" s="65">
        <v>13</v>
      </c>
      <c r="R17" s="66">
        <f>Inputs!H20</f>
        <v>1.6899999999999999E-4</v>
      </c>
    </row>
    <row r="18" spans="1:18" x14ac:dyDescent="0.25">
      <c r="A18">
        <f t="shared" si="2"/>
        <v>68</v>
      </c>
      <c r="B18">
        <v>14</v>
      </c>
      <c r="C18" s="12">
        <f t="shared" si="3"/>
        <v>9.7079999999999996E-3</v>
      </c>
      <c r="D18" s="10">
        <f t="shared" si="4"/>
        <v>0.99029199999999995</v>
      </c>
      <c r="E18" s="198">
        <f>IF(B18&lt;=$C$2,1,IF(B18=$C$2+1,PRODUCT($D$5:D18),E17*D18))</f>
        <v>1</v>
      </c>
      <c r="F18" s="10">
        <f t="shared" si="0"/>
        <v>0.57747508282180582</v>
      </c>
      <c r="G18" s="10">
        <f t="shared" si="5"/>
        <v>0.57747508282180582</v>
      </c>
      <c r="I18" s="13">
        <f t="shared" si="1"/>
        <v>5000</v>
      </c>
      <c r="J18" s="11">
        <f>(SUM(G19:$G$79)*$I$1)</f>
        <v>32722.535566766721</v>
      </c>
      <c r="K18" s="11">
        <f t="shared" si="6"/>
        <v>-2887.3754141090285</v>
      </c>
      <c r="Q18" s="65">
        <v>14</v>
      </c>
      <c r="R18" s="66">
        <f>Inputs!H21</f>
        <v>2.13E-4</v>
      </c>
    </row>
    <row r="19" spans="1:18" x14ac:dyDescent="0.25">
      <c r="A19">
        <f t="shared" si="2"/>
        <v>69</v>
      </c>
      <c r="B19">
        <v>15</v>
      </c>
      <c r="C19" s="12">
        <f t="shared" si="3"/>
        <v>1.0463E-2</v>
      </c>
      <c r="D19" s="10">
        <f t="shared" si="4"/>
        <v>0.989537</v>
      </c>
      <c r="E19" s="198">
        <f>IF(B19&lt;=$C$2,1,IF(B19=$C$2+1,PRODUCT($D$5:D19),E18*D19))</f>
        <v>1</v>
      </c>
      <c r="F19" s="10">
        <f t="shared" si="0"/>
        <v>0.55526450271327477</v>
      </c>
      <c r="G19" s="10">
        <f t="shared" si="5"/>
        <v>0.55526450271327477</v>
      </c>
      <c r="I19" s="13">
        <f t="shared" si="1"/>
        <v>5000</v>
      </c>
      <c r="J19" s="11">
        <f>(SUM(G20:$G$79)*$I$1)</f>
        <v>29946.21305320035</v>
      </c>
      <c r="K19" s="11">
        <f t="shared" si="6"/>
        <v>-2776.3225135663706</v>
      </c>
      <c r="Q19" s="65">
        <v>15</v>
      </c>
      <c r="R19" s="66">
        <f>Inputs!H22</f>
        <v>2.5399999999999999E-4</v>
      </c>
    </row>
    <row r="20" spans="1:18" x14ac:dyDescent="0.25">
      <c r="A20">
        <f t="shared" si="2"/>
        <v>70</v>
      </c>
      <c r="B20">
        <v>16</v>
      </c>
      <c r="C20" s="12">
        <f t="shared" si="3"/>
        <v>1.1357000000000001E-2</v>
      </c>
      <c r="D20" s="10">
        <f t="shared" si="4"/>
        <v>0.98864300000000005</v>
      </c>
      <c r="E20" s="198">
        <f>IF(B20&lt;=$C$2,1,IF(B20=$C$2+1,PRODUCT($D$5:D20),E19*D20))</f>
        <v>0.89746445566025901</v>
      </c>
      <c r="F20" s="10">
        <f t="shared" si="0"/>
        <v>0.53390817568584104</v>
      </c>
      <c r="G20" s="10">
        <f t="shared" si="5"/>
        <v>0.47916361026445525</v>
      </c>
      <c r="I20" s="13">
        <f t="shared" si="1"/>
        <v>4487.3222783012952</v>
      </c>
      <c r="J20" s="11">
        <f>(SUM(G21:$G$79)*$I$1)</f>
        <v>27550.395001878078</v>
      </c>
      <c r="K20" s="11">
        <f t="shared" si="6"/>
        <v>-2395.8180513222724</v>
      </c>
      <c r="Q20" s="65">
        <v>16</v>
      </c>
      <c r="R20" s="66">
        <f>Inputs!H23</f>
        <v>2.9300000000000002E-4</v>
      </c>
    </row>
    <row r="21" spans="1:18" x14ac:dyDescent="0.25">
      <c r="A21">
        <f t="shared" si="2"/>
        <v>71</v>
      </c>
      <c r="B21">
        <v>17</v>
      </c>
      <c r="C21" s="12">
        <f t="shared" si="3"/>
        <v>1.2418E-2</v>
      </c>
      <c r="D21" s="10">
        <f t="shared" si="4"/>
        <v>0.98758199999999996</v>
      </c>
      <c r="E21" s="198">
        <f>IF(B21&lt;=$C$2,1,IF(B21=$C$2+1,PRODUCT($D$5:D21),E20*D21))</f>
        <v>0.88631974204986985</v>
      </c>
      <c r="F21" s="10">
        <f t="shared" si="0"/>
        <v>0.51337324585177024</v>
      </c>
      <c r="G21" s="10">
        <f t="shared" si="5"/>
        <v>0.4550128428386454</v>
      </c>
      <c r="I21" s="13">
        <f t="shared" si="1"/>
        <v>4431.5987102493491</v>
      </c>
      <c r="J21" s="11">
        <f>(SUM(G22:$G$79)*$I$1)</f>
        <v>25275.330787684845</v>
      </c>
      <c r="K21" s="11">
        <f t="shared" si="6"/>
        <v>-2275.0642141932331</v>
      </c>
      <c r="Q21" s="65">
        <v>17</v>
      </c>
      <c r="R21" s="66">
        <f>Inputs!H24</f>
        <v>3.28E-4</v>
      </c>
    </row>
    <row r="22" spans="1:18" x14ac:dyDescent="0.25">
      <c r="A22">
        <f t="shared" si="2"/>
        <v>72</v>
      </c>
      <c r="B22">
        <v>18</v>
      </c>
      <c r="C22" s="12">
        <f t="shared" si="3"/>
        <v>1.3675E-2</v>
      </c>
      <c r="D22" s="10">
        <f t="shared" si="4"/>
        <v>0.98632500000000001</v>
      </c>
      <c r="E22" s="198">
        <f>IF(B22&lt;=$C$2,1,IF(B22=$C$2+1,PRODUCT($D$5:D22),E21*D22))</f>
        <v>0.87419931957733787</v>
      </c>
      <c r="F22" s="10">
        <f t="shared" si="0"/>
        <v>0.49362812101131748</v>
      </c>
      <c r="G22" s="10">
        <f t="shared" si="5"/>
        <v>0.43152936751233356</v>
      </c>
      <c r="I22" s="13">
        <f t="shared" si="1"/>
        <v>4370.9965978866894</v>
      </c>
      <c r="J22" s="11">
        <f>(SUM(G23:$G$79)*$I$1)</f>
        <v>23117.683950123177</v>
      </c>
      <c r="K22" s="11">
        <f t="shared" si="6"/>
        <v>-2157.6468375616678</v>
      </c>
      <c r="Q22" s="65">
        <v>18</v>
      </c>
      <c r="R22" s="66">
        <f>Inputs!H25</f>
        <v>3.59E-4</v>
      </c>
    </row>
    <row r="23" spans="1:18" x14ac:dyDescent="0.25">
      <c r="A23">
        <f t="shared" si="2"/>
        <v>73</v>
      </c>
      <c r="B23">
        <v>19</v>
      </c>
      <c r="C23" s="12">
        <f t="shared" si="3"/>
        <v>1.515E-2</v>
      </c>
      <c r="D23" s="10">
        <f t="shared" si="4"/>
        <v>0.98485</v>
      </c>
      <c r="E23" s="198">
        <f>IF(B23&lt;=$C$2,1,IF(B23=$C$2+1,PRODUCT($D$5:D23),E22*D23))</f>
        <v>0.86095519988574121</v>
      </c>
      <c r="F23" s="10">
        <f t="shared" si="0"/>
        <v>0.47464242404934376</v>
      </c>
      <c r="G23" s="10">
        <f t="shared" si="5"/>
        <v>0.40864586307165551</v>
      </c>
      <c r="I23" s="13">
        <f t="shared" si="1"/>
        <v>4304.7759994287062</v>
      </c>
      <c r="J23" s="11">
        <f>(SUM(G24:$G$79)*$I$1)</f>
        <v>21074.454634764905</v>
      </c>
      <c r="K23" s="11">
        <f t="shared" si="6"/>
        <v>-2043.2293153582723</v>
      </c>
      <c r="Q23" s="65">
        <v>19</v>
      </c>
      <c r="R23" s="66">
        <f>Inputs!H26</f>
        <v>3.8699999999999997E-4</v>
      </c>
    </row>
    <row r="24" spans="1:18" x14ac:dyDescent="0.25">
      <c r="A24">
        <f t="shared" si="2"/>
        <v>74</v>
      </c>
      <c r="B24">
        <v>20</v>
      </c>
      <c r="C24" s="12">
        <f t="shared" si="3"/>
        <v>1.686E-2</v>
      </c>
      <c r="D24" s="10">
        <f t="shared" si="4"/>
        <v>0.98314000000000001</v>
      </c>
      <c r="E24" s="198">
        <f>IF(B24&lt;=$C$2,1,IF(B24=$C$2+1,PRODUCT($D$5:D24),E23*D24))</f>
        <v>0.84643949521566764</v>
      </c>
      <c r="F24" s="10">
        <f t="shared" si="0"/>
        <v>0.45638694620129205</v>
      </c>
      <c r="G24" s="10">
        <f t="shared" si="5"/>
        <v>0.3863039363656417</v>
      </c>
      <c r="I24" s="13">
        <f t="shared" si="1"/>
        <v>4232.1974760783378</v>
      </c>
      <c r="J24" s="11">
        <f>(SUM(G25:$G$79)*$I$1)</f>
        <v>19142.934952936695</v>
      </c>
      <c r="K24" s="11">
        <f t="shared" si="6"/>
        <v>-1931.5196818282093</v>
      </c>
      <c r="Q24" s="65">
        <v>20</v>
      </c>
      <c r="R24" s="66">
        <f>Inputs!H27</f>
        <v>4.1399999999999998E-4</v>
      </c>
    </row>
    <row r="25" spans="1:18" x14ac:dyDescent="0.25">
      <c r="A25">
        <f t="shared" si="2"/>
        <v>75</v>
      </c>
      <c r="B25">
        <v>21</v>
      </c>
      <c r="C25" s="12">
        <f t="shared" si="3"/>
        <v>1.8814999999999998E-2</v>
      </c>
      <c r="D25" s="10">
        <f t="shared" si="4"/>
        <v>0.98118499999999997</v>
      </c>
      <c r="E25" s="198">
        <f>IF(B25&lt;=$C$2,1,IF(B25=$C$2+1,PRODUCT($D$5:D25),E24*D25))</f>
        <v>0.8305137361131848</v>
      </c>
      <c r="F25" s="10">
        <f t="shared" si="0"/>
        <v>0.43883360211662686</v>
      </c>
      <c r="G25" s="10">
        <f t="shared" si="5"/>
        <v>0.36445733442588657</v>
      </c>
      <c r="I25" s="13">
        <f t="shared" si="1"/>
        <v>4152.5686805659243</v>
      </c>
      <c r="J25" s="11">
        <f>(SUM(G26:$G$79)*$I$1)</f>
        <v>17320.648280807261</v>
      </c>
      <c r="K25" s="11">
        <f t="shared" si="6"/>
        <v>-1822.286672129434</v>
      </c>
      <c r="Q25" s="65">
        <v>21</v>
      </c>
      <c r="R25" s="66">
        <f>Inputs!H28</f>
        <v>4.4299999999999998E-4</v>
      </c>
    </row>
    <row r="26" spans="1:18" x14ac:dyDescent="0.25">
      <c r="A26">
        <f t="shared" si="2"/>
        <v>76</v>
      </c>
      <c r="B26">
        <v>22</v>
      </c>
      <c r="C26" s="12">
        <f t="shared" si="3"/>
        <v>2.1031000000000001E-2</v>
      </c>
      <c r="D26" s="10">
        <f t="shared" si="4"/>
        <v>0.97896899999999998</v>
      </c>
      <c r="E26" s="198">
        <f>IF(B26&lt;=$C$2,1,IF(B26=$C$2+1,PRODUCT($D$5:D26),E25*D26))</f>
        <v>0.81304720172898837</v>
      </c>
      <c r="F26" s="10">
        <f t="shared" si="0"/>
        <v>0.42195538665060278</v>
      </c>
      <c r="G26" s="10">
        <f t="shared" si="5"/>
        <v>0.34306964637074594</v>
      </c>
      <c r="I26" s="13">
        <f t="shared" si="1"/>
        <v>4065.2360086449416</v>
      </c>
      <c r="J26" s="11">
        <f>(SUM(G27:$G$79)*$I$1)</f>
        <v>15605.300048953532</v>
      </c>
      <c r="K26" s="11">
        <f t="shared" si="6"/>
        <v>-1715.3482318537299</v>
      </c>
      <c r="Q26" s="65">
        <v>22</v>
      </c>
      <c r="R26" s="66">
        <f>Inputs!H29</f>
        <v>4.73E-4</v>
      </c>
    </row>
    <row r="27" spans="1:18" x14ac:dyDescent="0.25">
      <c r="A27">
        <f t="shared" si="2"/>
        <v>77</v>
      </c>
      <c r="B27">
        <v>23</v>
      </c>
      <c r="C27" s="12">
        <f t="shared" si="3"/>
        <v>2.3539999999999998E-2</v>
      </c>
      <c r="D27" s="10">
        <f t="shared" si="4"/>
        <v>0.97645999999999999</v>
      </c>
      <c r="E27" s="198">
        <f>IF(B27&lt;=$C$2,1,IF(B27=$C$2+1,PRODUCT($D$5:D27),E26*D27))</f>
        <v>0.79390807060028801</v>
      </c>
      <c r="F27" s="10">
        <f t="shared" si="0"/>
        <v>0.40572633331788732</v>
      </c>
      <c r="G27" s="10">
        <f t="shared" si="5"/>
        <v>0.32210941047613328</v>
      </c>
      <c r="I27" s="13">
        <f t="shared" si="1"/>
        <v>3969.5403530014401</v>
      </c>
      <c r="J27" s="11">
        <f>(SUM(G28:$G$79)*$I$1)</f>
        <v>13994.752996572866</v>
      </c>
      <c r="K27" s="11">
        <f t="shared" si="6"/>
        <v>-1610.5470523806653</v>
      </c>
      <c r="Q27" s="65">
        <v>23</v>
      </c>
      <c r="R27" s="66">
        <f>Inputs!H30</f>
        <v>5.13E-4</v>
      </c>
    </row>
    <row r="28" spans="1:18" x14ac:dyDescent="0.25">
      <c r="A28">
        <f t="shared" si="2"/>
        <v>78</v>
      </c>
      <c r="B28">
        <v>24</v>
      </c>
      <c r="C28" s="12">
        <f t="shared" si="3"/>
        <v>2.6374999999999999E-2</v>
      </c>
      <c r="D28" s="10">
        <f t="shared" si="4"/>
        <v>0.97362499999999996</v>
      </c>
      <c r="E28" s="198">
        <f>IF(B28&lt;=$C$2,1,IF(B28=$C$2+1,PRODUCT($D$5:D28),E27*D28))</f>
        <v>0.77296874523820536</v>
      </c>
      <c r="F28" s="10">
        <f t="shared" si="0"/>
        <v>0.39012147434412242</v>
      </c>
      <c r="G28" s="10">
        <f t="shared" si="5"/>
        <v>0.30155170651425506</v>
      </c>
      <c r="I28" s="13">
        <f t="shared" si="1"/>
        <v>3864.8437261910267</v>
      </c>
      <c r="J28" s="11">
        <f>(SUM(G29:$G$79)*$I$1)</f>
        <v>12486.994464001591</v>
      </c>
      <c r="K28" s="11">
        <f t="shared" si="6"/>
        <v>-1507.7585325712753</v>
      </c>
      <c r="Q28" s="65">
        <v>24</v>
      </c>
      <c r="R28" s="66">
        <f>Inputs!H31</f>
        <v>5.5400000000000002E-4</v>
      </c>
    </row>
    <row r="29" spans="1:18" x14ac:dyDescent="0.25">
      <c r="A29">
        <f t="shared" si="2"/>
        <v>79</v>
      </c>
      <c r="B29">
        <v>25</v>
      </c>
      <c r="C29" s="12">
        <f t="shared" si="3"/>
        <v>2.9572000000000001E-2</v>
      </c>
      <c r="D29" s="10">
        <f t="shared" si="4"/>
        <v>0.97042799999999996</v>
      </c>
      <c r="E29" s="198">
        <f>IF(B29&lt;=$C$2,1,IF(B29=$C$2+1,PRODUCT($D$5:D29),E28*D29))</f>
        <v>0.75011051350402114</v>
      </c>
      <c r="F29" s="10">
        <f t="shared" si="0"/>
        <v>0.37511680225396377</v>
      </c>
      <c r="G29" s="10">
        <f t="shared" si="5"/>
        <v>0.28137905716270711</v>
      </c>
      <c r="I29" s="13">
        <f t="shared" si="1"/>
        <v>3750.5525675201056</v>
      </c>
      <c r="J29" s="11">
        <f>(SUM(G30:$G$79)*$I$1)</f>
        <v>11080.099178188058</v>
      </c>
      <c r="K29" s="11">
        <f t="shared" si="6"/>
        <v>-1406.8952858135326</v>
      </c>
      <c r="Q29" s="65">
        <v>25</v>
      </c>
      <c r="R29" s="66">
        <f>Inputs!H32</f>
        <v>6.02E-4</v>
      </c>
    </row>
    <row r="30" spans="1:18" x14ac:dyDescent="0.25">
      <c r="A30">
        <f t="shared" si="2"/>
        <v>80</v>
      </c>
      <c r="B30">
        <v>26</v>
      </c>
      <c r="C30" s="12">
        <f t="shared" si="3"/>
        <v>3.3234E-2</v>
      </c>
      <c r="D30" s="10">
        <f t="shared" si="4"/>
        <v>0.96676600000000001</v>
      </c>
      <c r="E30" s="198">
        <f>IF(B30&lt;=$C$2,1,IF(B30=$C$2+1,PRODUCT($D$5:D30),E29*D30))</f>
        <v>0.72518134069822848</v>
      </c>
      <c r="F30" s="10">
        <f t="shared" si="0"/>
        <v>0.36068923293650368</v>
      </c>
      <c r="G30" s="10">
        <f t="shared" si="5"/>
        <v>0.26156510151630935</v>
      </c>
      <c r="I30" s="13">
        <f t="shared" si="1"/>
        <v>3625.9067034911423</v>
      </c>
      <c r="J30" s="11">
        <f>(SUM(G31:$G$79)*$I$1)</f>
        <v>9772.273670606517</v>
      </c>
      <c r="K30" s="11">
        <f t="shared" si="6"/>
        <v>-1307.8255075815414</v>
      </c>
      <c r="Q30" s="65">
        <v>26</v>
      </c>
      <c r="R30" s="66">
        <f>Inputs!H33</f>
        <v>6.5499999999999998E-4</v>
      </c>
    </row>
    <row r="31" spans="1:18" x14ac:dyDescent="0.25">
      <c r="A31">
        <f t="shared" si="2"/>
        <v>81</v>
      </c>
      <c r="B31">
        <v>27</v>
      </c>
      <c r="C31" s="12">
        <f t="shared" si="3"/>
        <v>3.7532999999999997E-2</v>
      </c>
      <c r="D31" s="10">
        <f t="shared" si="4"/>
        <v>0.96246699999999996</v>
      </c>
      <c r="E31" s="198">
        <f>IF(B31&lt;=$C$2,1,IF(B31=$C$2+1,PRODUCT($D$5:D31),E30*D31))</f>
        <v>0.69796310943780182</v>
      </c>
      <c r="F31" s="10">
        <f t="shared" si="0"/>
        <v>0.3468165701312535</v>
      </c>
      <c r="G31" s="10">
        <f t="shared" si="5"/>
        <v>0.24206517169336317</v>
      </c>
      <c r="I31" s="13">
        <f t="shared" si="1"/>
        <v>3489.8155471890091</v>
      </c>
      <c r="J31" s="11">
        <f>(SUM(G32:$G$79)*$I$1)</f>
        <v>8561.9478121397005</v>
      </c>
      <c r="K31" s="11">
        <f t="shared" si="6"/>
        <v>-1210.3258584668165</v>
      </c>
      <c r="Q31" s="65">
        <v>27</v>
      </c>
      <c r="R31" s="66">
        <f>Inputs!H34</f>
        <v>6.8800000000000003E-4</v>
      </c>
    </row>
    <row r="32" spans="1:18" x14ac:dyDescent="0.25">
      <c r="A32">
        <f t="shared" si="2"/>
        <v>82</v>
      </c>
      <c r="B32">
        <v>28</v>
      </c>
      <c r="C32" s="12">
        <f t="shared" si="3"/>
        <v>4.2261E-2</v>
      </c>
      <c r="D32" s="10">
        <f t="shared" si="4"/>
        <v>0.95773900000000001</v>
      </c>
      <c r="E32" s="198">
        <f>IF(B32&lt;=$C$2,1,IF(B32=$C$2+1,PRODUCT($D$5:D32),E31*D32))</f>
        <v>0.66846649046985085</v>
      </c>
      <c r="F32" s="10">
        <f t="shared" si="0"/>
        <v>0.3334774712800514</v>
      </c>
      <c r="G32" s="10">
        <f t="shared" si="5"/>
        <v>0.22291851487733644</v>
      </c>
      <c r="I32" s="13">
        <f t="shared" si="1"/>
        <v>3342.3324523492543</v>
      </c>
      <c r="J32" s="11">
        <f>(SUM(G33:$G$79)*$I$1)</f>
        <v>7447.3552377530168</v>
      </c>
      <c r="K32" s="11">
        <f t="shared" si="6"/>
        <v>-1114.5925743866837</v>
      </c>
      <c r="Q32" s="65">
        <v>28</v>
      </c>
      <c r="R32" s="66">
        <f>Inputs!H35</f>
        <v>7.1000000000000002E-4</v>
      </c>
    </row>
    <row r="33" spans="1:18" x14ac:dyDescent="0.25">
      <c r="A33">
        <f t="shared" si="2"/>
        <v>83</v>
      </c>
      <c r="B33">
        <v>29</v>
      </c>
      <c r="C33" s="12">
        <f t="shared" si="3"/>
        <v>4.7440999999999997E-2</v>
      </c>
      <c r="D33" s="10">
        <f t="shared" si="4"/>
        <v>0.95255900000000004</v>
      </c>
      <c r="E33" s="198">
        <f>IF(B33&lt;=$C$2,1,IF(B33=$C$2+1,PRODUCT($D$5:D33),E32*D33))</f>
        <v>0.63675377169547065</v>
      </c>
      <c r="F33" s="10">
        <f t="shared" si="0"/>
        <v>0.32065141469235708</v>
      </c>
      <c r="G33" s="10">
        <f t="shared" si="5"/>
        <v>0.20417599770484682</v>
      </c>
      <c r="I33" s="13">
        <f t="shared" si="1"/>
        <v>3183.7688584773532</v>
      </c>
      <c r="J33" s="11">
        <f>(SUM(G34:$G$79)*$I$1)</f>
        <v>6426.4752492287826</v>
      </c>
      <c r="K33" s="11">
        <f t="shared" si="6"/>
        <v>-1020.8799885242342</v>
      </c>
      <c r="Q33" s="65">
        <v>29</v>
      </c>
      <c r="R33" s="66">
        <f>Inputs!H36</f>
        <v>7.27E-4</v>
      </c>
    </row>
    <row r="34" spans="1:18" x14ac:dyDescent="0.25">
      <c r="A34">
        <f t="shared" si="2"/>
        <v>84</v>
      </c>
      <c r="B34">
        <v>30</v>
      </c>
      <c r="C34" s="12">
        <f t="shared" si="3"/>
        <v>5.3233000000000003E-2</v>
      </c>
      <c r="D34" s="10">
        <f t="shared" si="4"/>
        <v>0.94676700000000003</v>
      </c>
      <c r="E34" s="198">
        <f>IF(B34&lt;=$C$2,1,IF(B34=$C$2+1,PRODUCT($D$5:D34),E33*D34))</f>
        <v>0.60285745816680569</v>
      </c>
      <c r="F34" s="10">
        <f t="shared" si="0"/>
        <v>0.30831866797342034</v>
      </c>
      <c r="G34" s="10">
        <f t="shared" si="5"/>
        <v>0.18587220847983149</v>
      </c>
      <c r="I34" s="13">
        <f t="shared" si="1"/>
        <v>3014.2872908340287</v>
      </c>
      <c r="J34" s="11">
        <f>(SUM(G35:$G$79)*$I$1)</f>
        <v>5497.1142068296267</v>
      </c>
      <c r="K34" s="11">
        <f t="shared" si="6"/>
        <v>-929.36104239915585</v>
      </c>
      <c r="Q34" s="65">
        <v>30</v>
      </c>
      <c r="R34" s="66">
        <f>Inputs!H37</f>
        <v>7.4100000000000001E-4</v>
      </c>
    </row>
    <row r="35" spans="1:18" x14ac:dyDescent="0.25">
      <c r="A35">
        <f t="shared" si="2"/>
        <v>85</v>
      </c>
      <c r="B35">
        <v>31</v>
      </c>
      <c r="C35" s="12">
        <f t="shared" si="3"/>
        <v>5.9854999999999998E-2</v>
      </c>
      <c r="D35" s="10">
        <f t="shared" si="4"/>
        <v>0.94014500000000001</v>
      </c>
      <c r="E35" s="198">
        <f>IF(B35&lt;=$C$2,1,IF(B35=$C$2+1,PRODUCT($D$5:D35),E34*D35))</f>
        <v>0.56677342500823158</v>
      </c>
      <c r="F35" s="10">
        <f t="shared" si="0"/>
        <v>0.29646025766675027</v>
      </c>
      <c r="G35" s="10">
        <f t="shared" si="5"/>
        <v>0.16802579561660688</v>
      </c>
      <c r="I35" s="13">
        <f t="shared" si="1"/>
        <v>2833.867125041158</v>
      </c>
      <c r="J35" s="11">
        <f>(SUM(G36:$G$79)*$I$1)</f>
        <v>4656.985228746591</v>
      </c>
      <c r="K35" s="11">
        <f t="shared" si="6"/>
        <v>-840.12897808303569</v>
      </c>
      <c r="Q35" s="65">
        <v>31</v>
      </c>
      <c r="R35" s="66">
        <f>Inputs!H38</f>
        <v>7.5100000000000004E-4</v>
      </c>
    </row>
    <row r="36" spans="1:18" x14ac:dyDescent="0.25">
      <c r="A36">
        <f t="shared" si="2"/>
        <v>86</v>
      </c>
      <c r="B36">
        <v>32</v>
      </c>
      <c r="C36" s="12">
        <f t="shared" si="3"/>
        <v>6.7514000000000005E-2</v>
      </c>
      <c r="D36" s="10">
        <f t="shared" si="4"/>
        <v>0.93248600000000004</v>
      </c>
      <c r="E36" s="198">
        <f>IF(B36&lt;=$C$2,1,IF(B36=$C$2+1,PRODUCT($D$5:D36),E35*D36))</f>
        <v>0.52850828399222582</v>
      </c>
      <c r="F36" s="10">
        <f t="shared" si="0"/>
        <v>0.28505794006418295</v>
      </c>
      <c r="G36" s="10">
        <f t="shared" si="5"/>
        <v>0.15065548274168009</v>
      </c>
      <c r="I36" s="13">
        <f t="shared" si="1"/>
        <v>2642.5414199611291</v>
      </c>
      <c r="J36" s="11">
        <f>(SUM(G37:$G$79)*$I$1)</f>
        <v>3903.7078150381903</v>
      </c>
      <c r="K36" s="11">
        <f t="shared" si="6"/>
        <v>-753.27741370840067</v>
      </c>
      <c r="Q36" s="65">
        <v>32</v>
      </c>
      <c r="R36" s="66">
        <f>Inputs!H39</f>
        <v>7.54E-4</v>
      </c>
    </row>
    <row r="37" spans="1:18" x14ac:dyDescent="0.25">
      <c r="A37">
        <f t="shared" si="2"/>
        <v>87</v>
      </c>
      <c r="B37">
        <v>33</v>
      </c>
      <c r="C37" s="12">
        <f t="shared" si="3"/>
        <v>7.6340000000000005E-2</v>
      </c>
      <c r="D37" s="10">
        <f t="shared" si="4"/>
        <v>0.92366000000000004</v>
      </c>
      <c r="E37" s="198">
        <f>IF(B37&lt;=$C$2,1,IF(B37=$C$2+1,PRODUCT($D$5:D37),E36*D37))</f>
        <v>0.48816196159225933</v>
      </c>
      <c r="F37" s="10">
        <f t="shared" si="0"/>
        <v>0.27409417313863743</v>
      </c>
      <c r="G37" s="10">
        <f t="shared" si="5"/>
        <v>0.1338023492203656</v>
      </c>
      <c r="I37" s="13">
        <f t="shared" si="1"/>
        <v>2440.8098079612964</v>
      </c>
      <c r="J37" s="11">
        <f>(SUM(G38:$G$79)*$I$1)</f>
        <v>3234.6960689363632</v>
      </c>
      <c r="K37" s="11">
        <f t="shared" si="6"/>
        <v>-669.01174610182716</v>
      </c>
      <c r="Q37" s="65">
        <v>33</v>
      </c>
      <c r="R37" s="66">
        <f>Inputs!H40</f>
        <v>7.5600000000000005E-4</v>
      </c>
    </row>
    <row r="38" spans="1:18" x14ac:dyDescent="0.25">
      <c r="A38">
        <f t="shared" si="2"/>
        <v>88</v>
      </c>
      <c r="B38">
        <v>34</v>
      </c>
      <c r="C38" s="12">
        <f t="shared" si="3"/>
        <v>8.6388000000000006E-2</v>
      </c>
      <c r="D38" s="10">
        <f t="shared" si="4"/>
        <v>0.91361199999999998</v>
      </c>
      <c r="E38" s="198">
        <f>IF(B38&lt;=$C$2,1,IF(B38=$C$2+1,PRODUCT($D$5:D38),E37*D38))</f>
        <v>0.44599062605422723</v>
      </c>
      <c r="F38" s="10">
        <f t="shared" si="0"/>
        <v>0.26355208955638215</v>
      </c>
      <c r="G38" s="10">
        <f t="shared" si="5"/>
        <v>0.11754176141915064</v>
      </c>
      <c r="I38" s="13">
        <f t="shared" si="1"/>
        <v>2229.9531302711362</v>
      </c>
      <c r="J38" s="11">
        <f>(SUM(G39:$G$79)*$I$1)</f>
        <v>2646.9872618406093</v>
      </c>
      <c r="K38" s="11">
        <f t="shared" si="6"/>
        <v>-587.70880709575385</v>
      </c>
      <c r="Q38" s="65">
        <v>34</v>
      </c>
      <c r="R38" s="66">
        <f>Inputs!H41</f>
        <v>7.5600000000000005E-4</v>
      </c>
    </row>
    <row r="39" spans="1:18" x14ac:dyDescent="0.25">
      <c r="A39">
        <f t="shared" si="2"/>
        <v>89</v>
      </c>
      <c r="B39">
        <v>35</v>
      </c>
      <c r="C39" s="12">
        <f t="shared" si="3"/>
        <v>9.7633999999999999E-2</v>
      </c>
      <c r="D39" s="10">
        <f t="shared" si="4"/>
        <v>0.902366</v>
      </c>
      <c r="E39" s="198">
        <f>IF(B39&lt;=$C$2,1,IF(B39=$C$2+1,PRODUCT($D$5:D39),E38*D39))</f>
        <v>0.40244677727004879</v>
      </c>
      <c r="F39" s="10">
        <f t="shared" si="0"/>
        <v>0.25341547072729048</v>
      </c>
      <c r="G39" s="10">
        <f t="shared" si="5"/>
        <v>0.10198623950457045</v>
      </c>
      <c r="I39" s="13">
        <f t="shared" si="1"/>
        <v>2012.2338863502439</v>
      </c>
      <c r="J39" s="11">
        <f>(SUM(G40:$G$79)*$I$1)</f>
        <v>2137.0560643177573</v>
      </c>
      <c r="K39" s="11">
        <f t="shared" si="6"/>
        <v>-509.93119752285202</v>
      </c>
      <c r="Q39" s="65">
        <v>35</v>
      </c>
      <c r="R39" s="66">
        <f>Inputs!H42</f>
        <v>7.5600000000000005E-4</v>
      </c>
    </row>
    <row r="40" spans="1:18" x14ac:dyDescent="0.25">
      <c r="A40">
        <f t="shared" si="2"/>
        <v>90</v>
      </c>
      <c r="B40">
        <v>36</v>
      </c>
      <c r="C40" s="12">
        <f t="shared" si="3"/>
        <v>0.10999299999999999</v>
      </c>
      <c r="D40" s="10">
        <f t="shared" si="4"/>
        <v>0.89000699999999999</v>
      </c>
      <c r="E40" s="198">
        <f>IF(B40&lt;=$C$2,1,IF(B40=$C$2+1,PRODUCT($D$5:D40),E39*D40))</f>
        <v>0.35818044889778433</v>
      </c>
      <c r="F40" s="10">
        <f t="shared" si="0"/>
        <v>0.24366872185316396</v>
      </c>
      <c r="G40" s="10">
        <f t="shared" si="5"/>
        <v>8.7277372175715615E-2</v>
      </c>
      <c r="I40" s="13">
        <f t="shared" si="1"/>
        <v>1790.9022444889217</v>
      </c>
      <c r="J40" s="11">
        <f>(SUM(G41:$G$79)*$I$1)</f>
        <v>1700.6692034391797</v>
      </c>
      <c r="K40" s="11">
        <f t="shared" si="6"/>
        <v>-436.38686087857764</v>
      </c>
      <c r="Q40" s="65">
        <v>36</v>
      </c>
      <c r="R40" s="66">
        <f>Inputs!H43</f>
        <v>7.5600000000000005E-4</v>
      </c>
    </row>
    <row r="41" spans="1:18" x14ac:dyDescent="0.25">
      <c r="A41">
        <f t="shared" si="2"/>
        <v>91</v>
      </c>
      <c r="B41">
        <v>37</v>
      </c>
      <c r="C41" s="12">
        <f t="shared" si="3"/>
        <v>0.12311900000000001</v>
      </c>
      <c r="D41" s="10">
        <f t="shared" si="4"/>
        <v>0.87688100000000002</v>
      </c>
      <c r="E41" s="198">
        <f>IF(B41&lt;=$C$2,1,IF(B41=$C$2+1,PRODUCT($D$5:D41),E40*D41))</f>
        <v>0.31408163020993801</v>
      </c>
      <c r="F41" s="10">
        <f t="shared" si="0"/>
        <v>0.23429684793573452</v>
      </c>
      <c r="G41" s="10">
        <f t="shared" si="5"/>
        <v>7.3588335952705447E-2</v>
      </c>
      <c r="I41" s="13">
        <f t="shared" si="1"/>
        <v>1570.4081510496901</v>
      </c>
      <c r="J41" s="11">
        <f>(SUM(G42:$G$79)*$I$1)</f>
        <v>1332.7275236756523</v>
      </c>
      <c r="K41" s="11">
        <f t="shared" si="6"/>
        <v>-367.94167976352742</v>
      </c>
      <c r="Q41" s="65">
        <v>37</v>
      </c>
      <c r="R41" s="66">
        <f>Inputs!H44</f>
        <v>7.5600000000000005E-4</v>
      </c>
    </row>
    <row r="42" spans="1:18" x14ac:dyDescent="0.25">
      <c r="A42">
        <f t="shared" si="2"/>
        <v>92</v>
      </c>
      <c r="B42">
        <v>38</v>
      </c>
      <c r="C42" s="12">
        <f t="shared" si="3"/>
        <v>0.13716800000000001</v>
      </c>
      <c r="D42" s="10">
        <f t="shared" si="4"/>
        <v>0.86283200000000004</v>
      </c>
      <c r="E42" s="198">
        <f>IF(B42&lt;=$C$2,1,IF(B42=$C$2+1,PRODUCT($D$5:D42),E41*D42))</f>
        <v>0.27099968115730128</v>
      </c>
      <c r="F42" s="10">
        <f t="shared" si="0"/>
        <v>0.22528543070743706</v>
      </c>
      <c r="G42" s="10">
        <f t="shared" si="5"/>
        <v>6.1052279891100736E-2</v>
      </c>
      <c r="I42" s="13">
        <f t="shared" si="1"/>
        <v>1354.9984057865063</v>
      </c>
      <c r="J42" s="11">
        <f>(SUM(G43:$G$79)*$I$1)</f>
        <v>1027.4661242201478</v>
      </c>
      <c r="K42" s="11">
        <f t="shared" si="6"/>
        <v>-305.26139945550449</v>
      </c>
      <c r="Q42" s="65">
        <v>38</v>
      </c>
      <c r="R42" s="66">
        <f>Inputs!H45</f>
        <v>7.5600000000000005E-4</v>
      </c>
    </row>
    <row r="43" spans="1:18" x14ac:dyDescent="0.25">
      <c r="A43">
        <f t="shared" si="2"/>
        <v>93</v>
      </c>
      <c r="B43">
        <v>39</v>
      </c>
      <c r="C43" s="12">
        <f t="shared" si="3"/>
        <v>0.152171</v>
      </c>
      <c r="D43" s="10">
        <f t="shared" si="4"/>
        <v>0.84782899999999994</v>
      </c>
      <c r="E43" s="198">
        <f>IF(B43&lt;=$C$2,1,IF(B43=$C$2+1,PRODUCT($D$5:D43),E42*D43))</f>
        <v>0.22976138867591356</v>
      </c>
      <c r="F43" s="10">
        <f t="shared" si="0"/>
        <v>0.21662060644945874</v>
      </c>
      <c r="G43" s="10">
        <f t="shared" si="5"/>
        <v>4.9771051353646199E-2</v>
      </c>
      <c r="I43" s="13">
        <f t="shared" si="1"/>
        <v>1148.8069433795679</v>
      </c>
      <c r="J43" s="11">
        <f>(SUM(G44:$G$79)*$I$1)</f>
        <v>778.61086745191665</v>
      </c>
      <c r="K43" s="11">
        <f t="shared" si="6"/>
        <v>-248.85525676823113</v>
      </c>
      <c r="Q43" s="65">
        <v>39</v>
      </c>
      <c r="R43" s="66">
        <f>Inputs!H46</f>
        <v>8.0000000000000004E-4</v>
      </c>
    </row>
    <row r="44" spans="1:18" x14ac:dyDescent="0.25">
      <c r="A44">
        <f t="shared" si="2"/>
        <v>94</v>
      </c>
      <c r="B44">
        <v>40</v>
      </c>
      <c r="C44" s="12">
        <f t="shared" si="3"/>
        <v>0.16819400000000001</v>
      </c>
      <c r="D44" s="10">
        <f t="shared" si="4"/>
        <v>0.83180600000000005</v>
      </c>
      <c r="E44" s="198">
        <f>IF(B44&lt;=$C$2,1,IF(B44=$C$2+1,PRODUCT($D$5:D44),E43*D44))</f>
        <v>0.19111690166895695</v>
      </c>
      <c r="F44" s="10">
        <f t="shared" si="0"/>
        <v>0.20828904466294101</v>
      </c>
      <c r="G44" s="10">
        <f t="shared" si="5"/>
        <v>3.9807556867568282E-2</v>
      </c>
      <c r="I44" s="13">
        <f t="shared" si="1"/>
        <v>955.58450834478481</v>
      </c>
      <c r="J44" s="11">
        <f>(SUM(G45:$G$79)*$I$1)</f>
        <v>579.57308311407553</v>
      </c>
      <c r="K44" s="11">
        <f t="shared" si="6"/>
        <v>-199.03778433784112</v>
      </c>
      <c r="Q44" s="65">
        <v>40</v>
      </c>
      <c r="R44" s="66">
        <f>Inputs!H47</f>
        <v>8.5899999999999995E-4</v>
      </c>
    </row>
    <row r="45" spans="1:18" x14ac:dyDescent="0.25">
      <c r="A45">
        <f t="shared" si="2"/>
        <v>95</v>
      </c>
      <c r="B45">
        <v>41</v>
      </c>
      <c r="C45" s="12">
        <f t="shared" si="3"/>
        <v>0.18526000000000001</v>
      </c>
      <c r="D45" s="10">
        <f t="shared" si="4"/>
        <v>0.81474000000000002</v>
      </c>
      <c r="E45" s="198">
        <f>IF(B45&lt;=$C$2,1,IF(B45=$C$2+1,PRODUCT($D$5:D45),E44*D45))</f>
        <v>0.15571058446576599</v>
      </c>
      <c r="F45" s="10">
        <f t="shared" si="0"/>
        <v>0.20027792756052021</v>
      </c>
      <c r="G45" s="10">
        <f t="shared" si="5"/>
        <v>3.1185393156040946E-2</v>
      </c>
      <c r="I45" s="13">
        <f t="shared" si="1"/>
        <v>778.55292232882994</v>
      </c>
      <c r="J45" s="11">
        <f>(SUM(G46:$G$79)*$I$1)</f>
        <v>423.64611733387085</v>
      </c>
      <c r="K45" s="11">
        <f t="shared" si="6"/>
        <v>-155.92696578020468</v>
      </c>
      <c r="Q45" s="65">
        <v>41</v>
      </c>
      <c r="R45" s="66">
        <f>Inputs!H48</f>
        <v>9.2599999999999996E-4</v>
      </c>
    </row>
    <row r="46" spans="1:18" x14ac:dyDescent="0.25">
      <c r="A46">
        <f t="shared" si="2"/>
        <v>96</v>
      </c>
      <c r="B46">
        <v>42</v>
      </c>
      <c r="C46" s="12">
        <f t="shared" si="3"/>
        <v>0.197322</v>
      </c>
      <c r="D46" s="10">
        <f t="shared" si="4"/>
        <v>0.802678</v>
      </c>
      <c r="E46" s="198">
        <f>IF(B46&lt;=$C$2,1,IF(B46=$C$2+1,PRODUCT($D$5:D46),E45*D46))</f>
        <v>0.12498546051781212</v>
      </c>
      <c r="F46" s="10">
        <f t="shared" si="0"/>
        <v>0.19257493034665407</v>
      </c>
      <c r="G46" s="10">
        <f t="shared" si="5"/>
        <v>2.4069066353562152E-2</v>
      </c>
      <c r="I46" s="13">
        <f t="shared" si="1"/>
        <v>624.92730258906056</v>
      </c>
      <c r="J46" s="11">
        <f>(SUM(G47:$G$79)*$I$1)</f>
        <v>303.30078556606009</v>
      </c>
      <c r="K46" s="11">
        <f t="shared" si="6"/>
        <v>-120.34533176781076</v>
      </c>
      <c r="Q46" s="65">
        <v>42</v>
      </c>
      <c r="R46" s="66">
        <f>Inputs!H49</f>
        <v>9.990000000000001E-4</v>
      </c>
    </row>
    <row r="47" spans="1:18" x14ac:dyDescent="0.25">
      <c r="A47">
        <f t="shared" si="2"/>
        <v>97</v>
      </c>
      <c r="B47">
        <v>43</v>
      </c>
      <c r="C47" s="12">
        <f t="shared" si="3"/>
        <v>0.214751</v>
      </c>
      <c r="D47" s="10">
        <f t="shared" si="4"/>
        <v>0.78524899999999997</v>
      </c>
      <c r="E47" s="198">
        <f>IF(B47&lt;=$C$2,1,IF(B47=$C$2+1,PRODUCT($D$5:D47),E46*D47))</f>
        <v>9.8144707886151442E-2</v>
      </c>
      <c r="F47" s="10">
        <f t="shared" si="0"/>
        <v>0.18516820225639813</v>
      </c>
      <c r="G47" s="10">
        <f t="shared" si="5"/>
        <v>1.8173279120258002E-2</v>
      </c>
      <c r="I47" s="13">
        <f t="shared" si="1"/>
        <v>490.72353943075723</v>
      </c>
      <c r="J47" s="11">
        <f>(SUM(G48:$G$79)*$I$1)</f>
        <v>212.43438996477011</v>
      </c>
      <c r="K47" s="11">
        <f t="shared" si="6"/>
        <v>-90.86639560128998</v>
      </c>
      <c r="Q47" s="65">
        <v>43</v>
      </c>
      <c r="R47" s="66">
        <f>Inputs!H50</f>
        <v>1.0690000000000001E-3</v>
      </c>
    </row>
    <row r="48" spans="1:18" x14ac:dyDescent="0.25">
      <c r="A48">
        <f t="shared" si="2"/>
        <v>98</v>
      </c>
      <c r="B48">
        <v>44</v>
      </c>
      <c r="C48" s="12">
        <f t="shared" si="3"/>
        <v>0.23250699999999999</v>
      </c>
      <c r="D48" s="10">
        <f t="shared" si="4"/>
        <v>0.76749299999999998</v>
      </c>
      <c r="E48" s="198">
        <f>IF(B48&lt;=$C$2,1,IF(B48=$C$2+1,PRODUCT($D$5:D48),E47*D48))</f>
        <v>7.5325376289666027E-2</v>
      </c>
      <c r="F48" s="10">
        <f t="shared" si="0"/>
        <v>0.17804634832345972</v>
      </c>
      <c r="G48" s="10">
        <f t="shared" si="5"/>
        <v>1.3411408184465552E-2</v>
      </c>
      <c r="I48" s="13">
        <f t="shared" si="1"/>
        <v>376.62688144833015</v>
      </c>
      <c r="J48" s="11">
        <f>(SUM(G49:$G$79)*$I$1)</f>
        <v>145.37734904244235</v>
      </c>
      <c r="K48" s="11">
        <f t="shared" si="6"/>
        <v>-67.057040922327758</v>
      </c>
      <c r="Q48" s="65">
        <v>44</v>
      </c>
      <c r="R48" s="66">
        <f>Inputs!H51</f>
        <v>1.142E-3</v>
      </c>
    </row>
    <row r="49" spans="1:18" x14ac:dyDescent="0.25">
      <c r="A49">
        <f t="shared" si="2"/>
        <v>99</v>
      </c>
      <c r="B49">
        <v>45</v>
      </c>
      <c r="C49" s="12">
        <f t="shared" si="3"/>
        <v>0.25039699999999998</v>
      </c>
      <c r="D49" s="10">
        <f t="shared" si="4"/>
        <v>0.74960300000000002</v>
      </c>
      <c r="E49" s="198">
        <f>IF(B49&lt;=$C$2,1,IF(B49=$C$2+1,PRODUCT($D$5:D49),E48*D49))</f>
        <v>5.6464128042862521E-2</v>
      </c>
      <c r="F49" s="10">
        <f t="shared" si="0"/>
        <v>0.17119841184948048</v>
      </c>
      <c r="G49" s="10">
        <f t="shared" si="5"/>
        <v>9.6665690474037787E-3</v>
      </c>
      <c r="I49" s="13">
        <f t="shared" si="1"/>
        <v>282.32064021431262</v>
      </c>
      <c r="J49" s="11">
        <f>(SUM(G50:$G$79)*$I$1)</f>
        <v>97.044503805423474</v>
      </c>
      <c r="K49" s="11">
        <f t="shared" si="6"/>
        <v>-48.332845237018873</v>
      </c>
      <c r="Q49" s="65">
        <v>45</v>
      </c>
      <c r="R49" s="66">
        <f>Inputs!H52</f>
        <v>1.219E-3</v>
      </c>
    </row>
    <row r="50" spans="1:18" x14ac:dyDescent="0.25">
      <c r="A50">
        <f t="shared" si="2"/>
        <v>100</v>
      </c>
      <c r="B50">
        <v>46</v>
      </c>
      <c r="C50" s="12">
        <f t="shared" si="3"/>
        <v>0.26860699999999998</v>
      </c>
      <c r="D50" s="10">
        <f t="shared" si="4"/>
        <v>0.73139299999999996</v>
      </c>
      <c r="E50" s="198">
        <f>IF(B50&lt;=$C$2,1,IF(B50=$C$2+1,PRODUCT($D$5:D50),E49*D50))</f>
        <v>4.1297468001653348E-2</v>
      </c>
      <c r="F50" s="10">
        <f t="shared" si="0"/>
        <v>0.1646138575475774</v>
      </c>
      <c r="G50" s="10">
        <f t="shared" si="5"/>
        <v>6.7981355146998004E-3</v>
      </c>
      <c r="I50" s="13">
        <f t="shared" si="1"/>
        <v>206.48734000826673</v>
      </c>
      <c r="J50" s="11">
        <f>(SUM(G51:$G$79)*$I$1)</f>
        <v>63.053826231924461</v>
      </c>
      <c r="K50" s="11">
        <f t="shared" si="6"/>
        <v>-33.990677573499013</v>
      </c>
      <c r="Q50" s="65">
        <v>46</v>
      </c>
      <c r="R50" s="66">
        <f>Inputs!H53</f>
        <v>1.3179999999999999E-3</v>
      </c>
    </row>
    <row r="51" spans="1:18" x14ac:dyDescent="0.25">
      <c r="A51">
        <f t="shared" si="2"/>
        <v>101</v>
      </c>
      <c r="B51">
        <v>47</v>
      </c>
      <c r="C51" s="12">
        <f t="shared" si="3"/>
        <v>0.290016</v>
      </c>
      <c r="D51" s="10">
        <f t="shared" si="4"/>
        <v>0.70998399999999995</v>
      </c>
      <c r="E51" s="198">
        <f>IF(B51&lt;=$C$2,1,IF(B51=$C$2+1,PRODUCT($D$5:D51),E50*D51))</f>
        <v>2.9320541521685849E-2</v>
      </c>
      <c r="F51" s="10">
        <f t="shared" si="0"/>
        <v>0.15828255533420904</v>
      </c>
      <c r="G51" s="10">
        <f t="shared" si="5"/>
        <v>4.6409302358352139E-3</v>
      </c>
      <c r="I51" s="13">
        <f t="shared" si="1"/>
        <v>146.60270760842926</v>
      </c>
      <c r="J51" s="11">
        <f>(SUM(G52:$G$79)*$I$1)</f>
        <v>39.849175052748393</v>
      </c>
      <c r="K51" s="11">
        <f t="shared" si="6"/>
        <v>-23.204651179176068</v>
      </c>
      <c r="Q51" s="65">
        <v>47</v>
      </c>
      <c r="R51" s="66">
        <f>Inputs!H54</f>
        <v>1.454E-3</v>
      </c>
    </row>
    <row r="52" spans="1:18" x14ac:dyDescent="0.25">
      <c r="A52">
        <f t="shared" si="2"/>
        <v>102</v>
      </c>
      <c r="B52">
        <v>48</v>
      </c>
      <c r="C52" s="12">
        <f t="shared" si="3"/>
        <v>0.31184899999999999</v>
      </c>
      <c r="D52" s="10">
        <f t="shared" si="4"/>
        <v>0.68815099999999996</v>
      </c>
      <c r="E52" s="198">
        <f>IF(B52&lt;=$C$2,1,IF(B52=$C$2+1,PRODUCT($D$5:D52),E51*D52))</f>
        <v>2.0176959968689637E-2</v>
      </c>
      <c r="F52" s="10">
        <f t="shared" si="0"/>
        <v>0.15219476474443175</v>
      </c>
      <c r="G52" s="10">
        <f t="shared" si="5"/>
        <v>3.0708276756925361E-3</v>
      </c>
      <c r="I52" s="13">
        <f t="shared" si="1"/>
        <v>100.88479984344818</v>
      </c>
      <c r="J52" s="11">
        <f>(SUM(G53:$G$79)*$I$1)</f>
        <v>24.495036674285718</v>
      </c>
      <c r="K52" s="11">
        <f t="shared" si="6"/>
        <v>-15.354138378462675</v>
      </c>
      <c r="Q52" s="65">
        <v>48</v>
      </c>
      <c r="R52" s="66">
        <f>Inputs!H55</f>
        <v>1.627E-3</v>
      </c>
    </row>
    <row r="53" spans="1:18" x14ac:dyDescent="0.25">
      <c r="A53">
        <f t="shared" si="2"/>
        <v>103</v>
      </c>
      <c r="B53">
        <v>49</v>
      </c>
      <c r="C53" s="12">
        <f t="shared" si="3"/>
        <v>0.33396199999999998</v>
      </c>
      <c r="D53" s="10">
        <f t="shared" si="4"/>
        <v>0.66603800000000002</v>
      </c>
      <c r="E53" s="198">
        <f>IF(B53&lt;=$C$2,1,IF(B53=$C$2+1,PRODUCT($D$5:D53),E52*D53))</f>
        <v>1.3438622063626109E-2</v>
      </c>
      <c r="F53" s="10">
        <f t="shared" si="0"/>
        <v>0.14634111994656898</v>
      </c>
      <c r="G53" s="10">
        <f t="shared" si="5"/>
        <v>1.9666230033297165E-3</v>
      </c>
      <c r="I53" s="13">
        <f t="shared" si="1"/>
        <v>67.193110318130536</v>
      </c>
      <c r="J53" s="11">
        <f>(SUM(G54:$G$79)*$I$1)</f>
        <v>14.661921657637123</v>
      </c>
      <c r="K53" s="11">
        <f t="shared" si="6"/>
        <v>-9.8331150166485948</v>
      </c>
      <c r="Q53" s="65">
        <v>49</v>
      </c>
      <c r="R53" s="66">
        <f>Inputs!H56</f>
        <v>1.8289999999999999E-3</v>
      </c>
    </row>
    <row r="54" spans="1:18" x14ac:dyDescent="0.25">
      <c r="A54">
        <f t="shared" si="2"/>
        <v>104</v>
      </c>
      <c r="B54">
        <v>50</v>
      </c>
      <c r="C54" s="12">
        <f t="shared" si="3"/>
        <v>0.356207</v>
      </c>
      <c r="D54" s="10">
        <f t="shared" si="4"/>
        <v>0.64379300000000006</v>
      </c>
      <c r="E54" s="198">
        <f>IF(B54&lt;=$C$2,1,IF(B54=$C$2+1,PRODUCT($D$5:D54),E53*D54))</f>
        <v>8.6516908142080448E-3</v>
      </c>
      <c r="F54" s="10">
        <f t="shared" si="0"/>
        <v>0.14071261533323939</v>
      </c>
      <c r="G54" s="10">
        <f t="shared" si="5"/>
        <v>1.2174020415217774E-3</v>
      </c>
      <c r="I54" s="13">
        <f t="shared" si="1"/>
        <v>43.258454071040227</v>
      </c>
      <c r="J54" s="11">
        <f>(SUM(G55:$G$79)*$I$1)</f>
        <v>8.5749114500282353</v>
      </c>
      <c r="K54" s="11">
        <f t="shared" si="6"/>
        <v>-6.0870102076088877</v>
      </c>
      <c r="Q54" s="65">
        <v>50</v>
      </c>
      <c r="R54" s="66">
        <f>Inputs!H57</f>
        <v>2.0569999999999998E-3</v>
      </c>
    </row>
    <row r="55" spans="1:18" x14ac:dyDescent="0.25">
      <c r="A55">
        <f t="shared" si="2"/>
        <v>105</v>
      </c>
      <c r="B55">
        <v>51</v>
      </c>
      <c r="C55" s="12">
        <f t="shared" si="3"/>
        <v>0.38</v>
      </c>
      <c r="D55" s="10">
        <f t="shared" si="4"/>
        <v>0.62</v>
      </c>
      <c r="E55" s="198">
        <f>IF(B55&lt;=$C$2,1,IF(B55=$C$2+1,PRODUCT($D$5:D55),E54*D55))</f>
        <v>5.3640483048089877E-3</v>
      </c>
      <c r="F55" s="10">
        <f t="shared" si="0"/>
        <v>0.13530059166657632</v>
      </c>
      <c r="G55" s="10">
        <f t="shared" si="5"/>
        <v>7.257589093687517E-4</v>
      </c>
      <c r="I55" s="13">
        <f t="shared" si="1"/>
        <v>26.820241524044938</v>
      </c>
      <c r="J55" s="11">
        <f>(SUM(G56:$G$79)*$I$1)</f>
        <v>4.9461169031844774</v>
      </c>
      <c r="K55" s="11">
        <f t="shared" si="6"/>
        <v>-3.6287945468437579</v>
      </c>
      <c r="Q55" s="65">
        <v>51</v>
      </c>
      <c r="R55" s="66">
        <f>Inputs!H58</f>
        <v>2.3019999999999998E-3</v>
      </c>
    </row>
    <row r="56" spans="1:18" x14ac:dyDescent="0.25">
      <c r="A56">
        <f t="shared" si="2"/>
        <v>106</v>
      </c>
      <c r="B56">
        <v>52</v>
      </c>
      <c r="C56" s="12">
        <f t="shared" si="3"/>
        <v>0.4</v>
      </c>
      <c r="D56" s="10">
        <f t="shared" si="4"/>
        <v>0.6</v>
      </c>
      <c r="E56" s="198">
        <f>IF(B56&lt;=$C$2,1,IF(B56=$C$2+1,PRODUCT($D$5:D56),E55*D56))</f>
        <v>3.2184289828853926E-3</v>
      </c>
      <c r="F56" s="10">
        <f t="shared" si="0"/>
        <v>0.13009672275632339</v>
      </c>
      <c r="G56" s="10">
        <f t="shared" si="5"/>
        <v>4.1870706309735681E-4</v>
      </c>
      <c r="I56" s="13">
        <f t="shared" si="1"/>
        <v>16.092144914426964</v>
      </c>
      <c r="J56" s="11">
        <f>(SUM(G57:$G$79)*$I$1)</f>
        <v>2.8525815876976934</v>
      </c>
      <c r="K56" s="11">
        <f t="shared" si="6"/>
        <v>-2.093535315486784</v>
      </c>
      <c r="Q56" s="65">
        <v>52</v>
      </c>
      <c r="R56" s="66">
        <f>Inputs!H59</f>
        <v>2.545E-3</v>
      </c>
    </row>
    <row r="57" spans="1:18" x14ac:dyDescent="0.25">
      <c r="A57">
        <f t="shared" si="2"/>
        <v>107</v>
      </c>
      <c r="B57">
        <v>53</v>
      </c>
      <c r="C57" s="12">
        <f t="shared" si="3"/>
        <v>0.4</v>
      </c>
      <c r="D57" s="10">
        <f t="shared" si="4"/>
        <v>0.6</v>
      </c>
      <c r="E57" s="198">
        <f>IF(B57&lt;=$C$2,1,IF(B57=$C$2+1,PRODUCT($D$5:D57),E56*D57))</f>
        <v>1.9310573897312355E-3</v>
      </c>
      <c r="F57" s="10">
        <f t="shared" si="0"/>
        <v>0.12509300265031092</v>
      </c>
      <c r="G57" s="10">
        <f t="shared" si="5"/>
        <v>2.4156176717155193E-4</v>
      </c>
      <c r="I57" s="13">
        <f t="shared" si="1"/>
        <v>9.6552869486561779</v>
      </c>
      <c r="J57" s="11">
        <f>(SUM(G58:$G$79)*$I$1)</f>
        <v>1.6447727518399344</v>
      </c>
      <c r="K57" s="11">
        <f t="shared" si="6"/>
        <v>-1.207808835857759</v>
      </c>
      <c r="Q57" s="65">
        <v>53</v>
      </c>
      <c r="R57" s="66">
        <f>Inputs!H60</f>
        <v>2.7789999999999998E-3</v>
      </c>
    </row>
    <row r="58" spans="1:18" x14ac:dyDescent="0.25">
      <c r="A58">
        <f t="shared" si="2"/>
        <v>108</v>
      </c>
      <c r="B58">
        <v>54</v>
      </c>
      <c r="C58" s="12">
        <f t="shared" si="3"/>
        <v>0.4</v>
      </c>
      <c r="D58" s="10">
        <f t="shared" si="4"/>
        <v>0.6</v>
      </c>
      <c r="E58" s="198">
        <f>IF(B58&lt;=$C$2,1,IF(B58=$C$2+1,PRODUCT($D$5:D58),E57*D58))</f>
        <v>1.1586344338387412E-3</v>
      </c>
      <c r="F58" s="10">
        <f t="shared" si="0"/>
        <v>0.12028173331760666</v>
      </c>
      <c r="G58" s="10">
        <f t="shared" si="5"/>
        <v>1.3936255798358764E-4</v>
      </c>
      <c r="I58" s="13">
        <f t="shared" si="1"/>
        <v>5.7931721691937055</v>
      </c>
      <c r="J58" s="11">
        <f>(SUM(G59:$G$79)*$I$1)</f>
        <v>0.94795996192199594</v>
      </c>
      <c r="K58" s="11">
        <f t="shared" si="6"/>
        <v>-0.69681278991793849</v>
      </c>
      <c r="Q58" s="65">
        <v>54</v>
      </c>
      <c r="R58" s="66">
        <f>Inputs!H61</f>
        <v>3.0109999999999998E-3</v>
      </c>
    </row>
    <row r="59" spans="1:18" x14ac:dyDescent="0.25">
      <c r="A59">
        <f t="shared" si="2"/>
        <v>109</v>
      </c>
      <c r="B59">
        <v>55</v>
      </c>
      <c r="C59" s="12">
        <f t="shared" si="3"/>
        <v>0.4</v>
      </c>
      <c r="D59" s="10">
        <f t="shared" si="4"/>
        <v>0.6</v>
      </c>
      <c r="E59" s="198">
        <f>IF(B59&lt;=$C$2,1,IF(B59=$C$2+1,PRODUCT($D$5:D59),E58*D59))</f>
        <v>6.9518066030324469E-4</v>
      </c>
      <c r="F59" s="10">
        <f t="shared" si="0"/>
        <v>0.11565551280539103</v>
      </c>
      <c r="G59" s="10">
        <f t="shared" si="5"/>
        <v>8.0401475759762117E-5</v>
      </c>
      <c r="I59" s="13">
        <f t="shared" si="1"/>
        <v>3.4759033015162233</v>
      </c>
      <c r="J59" s="11">
        <f>(SUM(G60:$G$79)*$I$1)</f>
        <v>0.54595258312318529</v>
      </c>
      <c r="K59" s="11">
        <f t="shared" si="6"/>
        <v>-0.40200737879881066</v>
      </c>
      <c r="Q59" s="65">
        <v>55</v>
      </c>
      <c r="R59" s="66">
        <f>Inputs!H62</f>
        <v>3.2539999999999999E-3</v>
      </c>
    </row>
    <row r="60" spans="1:18" x14ac:dyDescent="0.25">
      <c r="A60">
        <f t="shared" si="2"/>
        <v>110</v>
      </c>
      <c r="B60">
        <v>56</v>
      </c>
      <c r="C60" s="12">
        <f t="shared" si="3"/>
        <v>0.4</v>
      </c>
      <c r="D60" s="10">
        <f t="shared" si="4"/>
        <v>0.6</v>
      </c>
      <c r="E60" s="198">
        <f>IF(B60&lt;=$C$2,1,IF(B60=$C$2+1,PRODUCT($D$5:D60),E59*D60))</f>
        <v>4.1710839618194681E-4</v>
      </c>
      <c r="F60" s="10">
        <f t="shared" si="0"/>
        <v>0.11120722385133754</v>
      </c>
      <c r="G60" s="10">
        <f t="shared" si="5"/>
        <v>4.638546678447814E-5</v>
      </c>
      <c r="I60" s="13">
        <f t="shared" si="1"/>
        <v>2.085541980909734</v>
      </c>
      <c r="J60" s="11">
        <f>(SUM(G61:$G$79)*$I$1)</f>
        <v>0.31402524920079466</v>
      </c>
      <c r="K60" s="11">
        <f t="shared" si="6"/>
        <v>-0.23192733392239062</v>
      </c>
      <c r="Q60" s="65">
        <v>56</v>
      </c>
      <c r="R60" s="66">
        <f>Inputs!H63</f>
        <v>3.529E-3</v>
      </c>
    </row>
    <row r="61" spans="1:18" x14ac:dyDescent="0.25">
      <c r="A61">
        <f t="shared" si="2"/>
        <v>111</v>
      </c>
      <c r="B61">
        <v>57</v>
      </c>
      <c r="C61" s="12">
        <f t="shared" si="3"/>
        <v>0.4</v>
      </c>
      <c r="D61" s="10">
        <f t="shared" si="4"/>
        <v>0.6</v>
      </c>
      <c r="E61" s="198">
        <f>IF(B61&lt;=$C$2,1,IF(B61=$C$2+1,PRODUCT($D$5:D61),E60*D61))</f>
        <v>2.5026503770916809E-4</v>
      </c>
      <c r="F61" s="10">
        <f t="shared" si="0"/>
        <v>0.10693002293397837</v>
      </c>
      <c r="G61" s="10">
        <f t="shared" si="5"/>
        <v>2.6760846221814306E-5</v>
      </c>
      <c r="I61" s="13">
        <f t="shared" si="1"/>
        <v>1.2513251885458405</v>
      </c>
      <c r="J61" s="11">
        <f>(SUM(G62:$G$79)*$I$1)</f>
        <v>0.18022101809172314</v>
      </c>
      <c r="K61" s="11">
        <f t="shared" si="6"/>
        <v>-0.13380423110907153</v>
      </c>
      <c r="Q61" s="65">
        <v>57</v>
      </c>
      <c r="R61" s="66">
        <f>Inputs!H64</f>
        <v>3.8449999999999999E-3</v>
      </c>
    </row>
    <row r="62" spans="1:18" x14ac:dyDescent="0.25">
      <c r="A62">
        <f t="shared" si="2"/>
        <v>112</v>
      </c>
      <c r="B62">
        <v>58</v>
      </c>
      <c r="C62" s="12">
        <f t="shared" si="3"/>
        <v>0.4</v>
      </c>
      <c r="D62" s="10">
        <f t="shared" si="4"/>
        <v>0.6</v>
      </c>
      <c r="E62" s="198">
        <f>IF(B62&lt;=$C$2,1,IF(B62=$C$2+1,PRODUCT($D$5:D62),E61*D62))</f>
        <v>1.5015902262550086E-4</v>
      </c>
      <c r="F62" s="10">
        <f t="shared" si="0"/>
        <v>0.10281732974420998</v>
      </c>
      <c r="G62" s="10">
        <f t="shared" si="5"/>
        <v>1.543894974335441E-5</v>
      </c>
      <c r="I62" s="13">
        <f t="shared" si="1"/>
        <v>0.75079511312750435</v>
      </c>
      <c r="J62" s="11">
        <f>(SUM(G63:$G$79)*$I$1)</f>
        <v>0.10302626937495105</v>
      </c>
      <c r="K62" s="11">
        <f t="shared" si="6"/>
        <v>-7.7194748716772094E-2</v>
      </c>
      <c r="Q62" s="65">
        <v>58</v>
      </c>
      <c r="R62" s="66">
        <f>Inputs!H65</f>
        <v>4.2129999999999997E-3</v>
      </c>
    </row>
    <row r="63" spans="1:18" x14ac:dyDescent="0.25">
      <c r="A63">
        <f t="shared" si="2"/>
        <v>113</v>
      </c>
      <c r="B63">
        <v>59</v>
      </c>
      <c r="C63" s="12">
        <f t="shared" si="3"/>
        <v>0.4</v>
      </c>
      <c r="D63" s="10">
        <f t="shared" si="4"/>
        <v>0.6</v>
      </c>
      <c r="E63" s="198">
        <f>IF(B63&lt;=$C$2,1,IF(B63=$C$2+1,PRODUCT($D$5:D63),E62*D63))</f>
        <v>9.0095413575300509E-5</v>
      </c>
      <c r="F63" s="10">
        <f t="shared" si="0"/>
        <v>9.8862817061740368E-2</v>
      </c>
      <c r="G63" s="10">
        <f t="shared" si="5"/>
        <v>8.9070863903967737E-6</v>
      </c>
      <c r="I63" s="13">
        <f t="shared" si="1"/>
        <v>0.45047706787650255</v>
      </c>
      <c r="J63" s="11">
        <f>(SUM(G64:$G$79)*$I$1)</f>
        <v>5.8490837422967207E-2</v>
      </c>
      <c r="K63" s="11">
        <f t="shared" si="6"/>
        <v>-4.4535431951983839E-2</v>
      </c>
      <c r="Q63" s="65">
        <v>59</v>
      </c>
      <c r="R63" s="66">
        <f>Inputs!H66</f>
        <v>4.6309999999999997E-3</v>
      </c>
    </row>
    <row r="64" spans="1:18" x14ac:dyDescent="0.25">
      <c r="A64">
        <f t="shared" si="2"/>
        <v>114</v>
      </c>
      <c r="B64">
        <v>60</v>
      </c>
      <c r="C64" s="12">
        <f t="shared" si="3"/>
        <v>0.4</v>
      </c>
      <c r="D64" s="10">
        <f t="shared" si="4"/>
        <v>0.6</v>
      </c>
      <c r="E64" s="198">
        <f>IF(B64&lt;=$C$2,1,IF(B64=$C$2+1,PRODUCT($D$5:D64),E63*D64))</f>
        <v>5.4057248145180301E-5</v>
      </c>
      <c r="F64" s="10">
        <f t="shared" si="0"/>
        <v>9.506040102090417E-2</v>
      </c>
      <c r="G64" s="10">
        <f t="shared" si="5"/>
        <v>5.1387036867673674E-6</v>
      </c>
      <c r="I64" s="13">
        <f t="shared" si="1"/>
        <v>0.27028624072590152</v>
      </c>
      <c r="J64" s="11">
        <f>(SUM(G65:$G$79)*$I$1)</f>
        <v>3.2797318989130367E-2</v>
      </c>
      <c r="K64" s="11">
        <f t="shared" si="6"/>
        <v>-2.569351843383684E-2</v>
      </c>
      <c r="Q64" s="65">
        <v>60</v>
      </c>
      <c r="R64" s="66">
        <f>Inputs!H67</f>
        <v>5.0959999999999998E-3</v>
      </c>
    </row>
    <row r="65" spans="1:18" x14ac:dyDescent="0.25">
      <c r="A65">
        <f t="shared" si="2"/>
        <v>115</v>
      </c>
      <c r="B65">
        <v>61</v>
      </c>
      <c r="C65" s="12">
        <f t="shared" si="3"/>
        <v>0.4</v>
      </c>
      <c r="D65" s="10">
        <f t="shared" si="4"/>
        <v>0.6</v>
      </c>
      <c r="E65" s="198">
        <f>IF(B65&lt;=$C$2,1,IF(B65=$C$2+1,PRODUCT($D$5:D65),E64*D65))</f>
        <v>3.2434348887108177E-5</v>
      </c>
      <c r="F65" s="10">
        <f t="shared" si="0"/>
        <v>9.1404231750869397E-2</v>
      </c>
      <c r="G65" s="10">
        <f t="shared" si="5"/>
        <v>2.9646367423657887E-6</v>
      </c>
      <c r="I65" s="13">
        <f t="shared" si="1"/>
        <v>0.16217174443554089</v>
      </c>
      <c r="J65" s="11">
        <f>(SUM(G66:$G$79)*$I$1)</f>
        <v>1.7974135277301424E-2</v>
      </c>
      <c r="K65" s="11">
        <f t="shared" si="6"/>
        <v>-1.4823183711828943E-2</v>
      </c>
      <c r="Q65" s="65">
        <v>61</v>
      </c>
      <c r="R65" s="66">
        <f>Inputs!H68</f>
        <v>5.6140000000000001E-3</v>
      </c>
    </row>
    <row r="66" spans="1:18" x14ac:dyDescent="0.25">
      <c r="A66">
        <f t="shared" si="2"/>
        <v>116</v>
      </c>
      <c r="B66">
        <v>62</v>
      </c>
      <c r="C66" s="12">
        <f t="shared" si="3"/>
        <v>0.4</v>
      </c>
      <c r="D66" s="10">
        <f t="shared" si="4"/>
        <v>0.6</v>
      </c>
      <c r="E66" s="198">
        <f>IF(B66&lt;=$C$2,1,IF(B66=$C$2+1,PRODUCT($D$5:D66),E65*D66))</f>
        <v>1.9460609332264905E-5</v>
      </c>
      <c r="F66" s="10">
        <f t="shared" si="0"/>
        <v>8.7888684375835968E-2</v>
      </c>
      <c r="G66" s="10">
        <f t="shared" si="5"/>
        <v>1.7103673513648783E-6</v>
      </c>
      <c r="I66" s="13">
        <f t="shared" si="1"/>
        <v>9.7303046661324527E-2</v>
      </c>
      <c r="J66" s="11">
        <f>(SUM(G67:$G$79)*$I$1)</f>
        <v>9.4222985204770321E-3</v>
      </c>
      <c r="K66" s="11">
        <f t="shared" si="6"/>
        <v>-8.5518367568243915E-3</v>
      </c>
      <c r="Q66" s="65">
        <v>62</v>
      </c>
      <c r="R66" s="66">
        <f>Inputs!H69</f>
        <v>6.169E-3</v>
      </c>
    </row>
    <row r="67" spans="1:18" x14ac:dyDescent="0.25">
      <c r="A67">
        <f t="shared" si="2"/>
        <v>117</v>
      </c>
      <c r="B67">
        <v>63</v>
      </c>
      <c r="C67" s="12">
        <f t="shared" si="3"/>
        <v>0.4</v>
      </c>
      <c r="D67" s="10">
        <f t="shared" si="4"/>
        <v>0.6</v>
      </c>
      <c r="E67" s="198">
        <f>IF(B67&lt;=$C$2,1,IF(B67=$C$2+1,PRODUCT($D$5:D67),E66*D67))</f>
        <v>1.1676365599358943E-5</v>
      </c>
      <c r="F67" s="10">
        <f t="shared" si="0"/>
        <v>8.4508350361380741E-2</v>
      </c>
      <c r="G67" s="10">
        <f t="shared" si="5"/>
        <v>9.867503950181989E-7</v>
      </c>
      <c r="I67" s="13">
        <f t="shared" si="1"/>
        <v>5.8381827996794713E-2</v>
      </c>
      <c r="J67" s="11">
        <f>(SUM(G68:$G$79)*$I$1)</f>
        <v>4.4885465453860371E-3</v>
      </c>
      <c r="K67" s="11">
        <f t="shared" si="6"/>
        <v>-4.933751975090995E-3</v>
      </c>
      <c r="Q67" s="65">
        <v>63</v>
      </c>
      <c r="R67" s="66">
        <f>Inputs!H70</f>
        <v>6.7590000000000003E-3</v>
      </c>
    </row>
    <row r="68" spans="1:18" x14ac:dyDescent="0.25">
      <c r="A68">
        <f t="shared" si="2"/>
        <v>118</v>
      </c>
      <c r="B68">
        <v>64</v>
      </c>
      <c r="C68" s="12">
        <f t="shared" si="3"/>
        <v>0.4</v>
      </c>
      <c r="D68" s="10">
        <f t="shared" si="4"/>
        <v>0.6</v>
      </c>
      <c r="E68" s="198">
        <f>IF(B68&lt;=$C$2,1,IF(B68=$C$2+1,PRODUCT($D$5:D68),E67*D68))</f>
        <v>7.0058193596153656E-6</v>
      </c>
      <c r="F68" s="10">
        <f t="shared" si="0"/>
        <v>8.1258029193635312E-2</v>
      </c>
      <c r="G68" s="10">
        <f t="shared" si="5"/>
        <v>5.6927907404896084E-7</v>
      </c>
      <c r="I68" s="13">
        <f t="shared" si="1"/>
        <v>3.5029096798076829E-2</v>
      </c>
      <c r="J68" s="11">
        <f>(SUM(G69:$G$79)*$I$1)</f>
        <v>1.6421511751412328E-3</v>
      </c>
      <c r="K68" s="11">
        <f t="shared" si="6"/>
        <v>-2.8463953702448043E-3</v>
      </c>
      <c r="Q68" s="65">
        <v>64</v>
      </c>
      <c r="R68" s="66">
        <f>Inputs!H71</f>
        <v>7.3980000000000001E-3</v>
      </c>
    </row>
    <row r="69" spans="1:18" x14ac:dyDescent="0.25">
      <c r="A69">
        <f t="shared" si="2"/>
        <v>119</v>
      </c>
      <c r="B69">
        <v>65</v>
      </c>
      <c r="C69" s="12">
        <f t="shared" si="3"/>
        <v>0.4</v>
      </c>
      <c r="D69" s="10">
        <f t="shared" si="4"/>
        <v>0.6</v>
      </c>
      <c r="E69" s="198">
        <f>IF(B69&lt;=$C$2,1,IF(B69=$C$2+1,PRODUCT($D$5:D69),E68*D69))</f>
        <v>4.2034916157692188E-6</v>
      </c>
      <c r="F69" s="10">
        <f t="shared" ref="F69:F70" si="7">IF(D69=0,0,(1+$F$2)^-B69)</f>
        <v>7.8132720378495488E-2</v>
      </c>
      <c r="G69" s="10">
        <f t="shared" si="5"/>
        <v>3.2843023502824658E-7</v>
      </c>
      <c r="I69" s="13">
        <f t="shared" ref="I69:I70" si="8">E69*$I$1</f>
        <v>2.1017458078846096E-2</v>
      </c>
      <c r="J69" s="11">
        <f>(SUM(G70:$G$79)*$I$1)</f>
        <v>0</v>
      </c>
      <c r="K69" s="11">
        <f t="shared" si="6"/>
        <v>-1.6421511751412328E-3</v>
      </c>
      <c r="Q69" s="65">
        <v>65</v>
      </c>
      <c r="R69" s="66">
        <f>Inputs!H72</f>
        <v>8.1060000000000004E-3</v>
      </c>
    </row>
    <row r="70" spans="1:18" x14ac:dyDescent="0.25">
      <c r="A70">
        <f t="shared" ref="A70" si="9">B70+$A$4</f>
        <v>120</v>
      </c>
      <c r="B70">
        <v>66</v>
      </c>
      <c r="C70" s="12">
        <f t="shared" ref="C70" si="10">VLOOKUP(A70,$Q$4:$R$124,2,FALSE)</f>
        <v>1</v>
      </c>
      <c r="D70" s="10">
        <f t="shared" ref="D70" si="11">1-C70</f>
        <v>0</v>
      </c>
      <c r="E70" s="198">
        <f>IF(B70&lt;=$C$2,1,IF(B70=$C$2+1,PRODUCT($D$5:D70),E69*D70))</f>
        <v>0</v>
      </c>
      <c r="F70" s="10">
        <f t="shared" si="7"/>
        <v>0</v>
      </c>
      <c r="G70" s="10">
        <f t="shared" ref="G70" si="12">F70*E70</f>
        <v>0</v>
      </c>
      <c r="I70" s="13">
        <f t="shared" si="8"/>
        <v>0</v>
      </c>
      <c r="J70" s="11">
        <f>(SUM(G71:$G$79)*$I$1)</f>
        <v>0</v>
      </c>
      <c r="K70" s="11">
        <f t="shared" ref="K70" si="13">J70-J69</f>
        <v>0</v>
      </c>
      <c r="Q70" s="65">
        <v>66</v>
      </c>
      <c r="R70" s="66">
        <f>Inputs!H73</f>
        <v>8.548E-3</v>
      </c>
    </row>
    <row r="71" spans="1:18" x14ac:dyDescent="0.25">
      <c r="C71" s="12"/>
      <c r="D71" s="10"/>
      <c r="E71" s="10"/>
      <c r="F71" s="10"/>
      <c r="G71" s="10"/>
      <c r="I71" s="13"/>
      <c r="J71" s="11"/>
      <c r="K71" s="11"/>
      <c r="Q71" s="65">
        <v>67</v>
      </c>
      <c r="R71" s="66">
        <f>Inputs!H74</f>
        <v>9.0760000000000007E-3</v>
      </c>
    </row>
    <row r="72" spans="1:18" x14ac:dyDescent="0.25">
      <c r="C72" s="12"/>
      <c r="D72" s="10"/>
      <c r="E72" s="10"/>
      <c r="F72" s="10"/>
      <c r="G72" s="10"/>
      <c r="I72" s="13"/>
      <c r="J72" s="11"/>
      <c r="K72" s="11"/>
      <c r="Q72" s="65">
        <v>68</v>
      </c>
      <c r="R72" s="66">
        <f>Inputs!H75</f>
        <v>9.7079999999999996E-3</v>
      </c>
    </row>
    <row r="73" spans="1:18" x14ac:dyDescent="0.25">
      <c r="C73" s="12"/>
      <c r="D73" s="10"/>
      <c r="E73" s="10"/>
      <c r="F73" s="10"/>
      <c r="G73" s="10"/>
      <c r="I73" s="13"/>
      <c r="J73" s="11"/>
      <c r="K73" s="11"/>
      <c r="Q73" s="65">
        <v>69</v>
      </c>
      <c r="R73" s="66">
        <f>Inputs!H76</f>
        <v>1.0463E-2</v>
      </c>
    </row>
    <row r="74" spans="1:18" x14ac:dyDescent="0.25">
      <c r="C74" s="12"/>
      <c r="D74" s="10"/>
      <c r="E74" s="10"/>
      <c r="F74" s="10"/>
      <c r="G74" s="10"/>
      <c r="I74" s="13"/>
      <c r="J74" s="11"/>
      <c r="K74" s="11"/>
      <c r="Q74" s="65">
        <v>70</v>
      </c>
      <c r="R74" s="66">
        <f>Inputs!H77</f>
        <v>1.1357000000000001E-2</v>
      </c>
    </row>
    <row r="75" spans="1:18" x14ac:dyDescent="0.25">
      <c r="C75" s="12"/>
      <c r="D75" s="10"/>
      <c r="E75" s="10"/>
      <c r="F75" s="10"/>
      <c r="G75" s="10"/>
      <c r="I75" s="13"/>
      <c r="J75" s="11"/>
      <c r="K75" s="11"/>
      <c r="Q75" s="65">
        <v>71</v>
      </c>
      <c r="R75" s="66">
        <f>Inputs!H78</f>
        <v>1.2418E-2</v>
      </c>
    </row>
    <row r="76" spans="1:18" x14ac:dyDescent="0.25">
      <c r="C76" s="12"/>
      <c r="D76" s="10"/>
      <c r="E76" s="10"/>
      <c r="F76" s="10"/>
      <c r="G76" s="10"/>
      <c r="I76" s="13"/>
      <c r="J76" s="11"/>
      <c r="K76" s="11"/>
      <c r="Q76" s="65">
        <v>72</v>
      </c>
      <c r="R76" s="66">
        <f>Inputs!H79</f>
        <v>1.3675E-2</v>
      </c>
    </row>
    <row r="77" spans="1:18" x14ac:dyDescent="0.25">
      <c r="C77" s="12"/>
      <c r="D77" s="10"/>
      <c r="E77" s="10"/>
      <c r="F77" s="10"/>
      <c r="G77" s="10"/>
      <c r="I77" s="13"/>
      <c r="J77" s="11"/>
      <c r="K77" s="11"/>
      <c r="Q77" s="65">
        <v>73</v>
      </c>
      <c r="R77" s="66">
        <f>Inputs!H80</f>
        <v>1.515E-2</v>
      </c>
    </row>
    <row r="78" spans="1:18" x14ac:dyDescent="0.25">
      <c r="C78" s="12"/>
      <c r="D78" s="10"/>
      <c r="E78" s="10"/>
      <c r="F78" s="10"/>
      <c r="G78" s="10"/>
      <c r="I78" s="13"/>
      <c r="J78" s="11"/>
      <c r="K78" s="11"/>
      <c r="Q78" s="65">
        <v>74</v>
      </c>
      <c r="R78" s="66">
        <f>Inputs!H81</f>
        <v>1.686E-2</v>
      </c>
    </row>
    <row r="79" spans="1:18" x14ac:dyDescent="0.25">
      <c r="C79" s="12"/>
      <c r="D79" s="10"/>
      <c r="E79" s="10"/>
      <c r="F79" s="10"/>
      <c r="G79" s="10"/>
      <c r="I79" s="13"/>
      <c r="J79" s="11"/>
      <c r="K79" s="11"/>
      <c r="Q79" s="65">
        <v>75</v>
      </c>
      <c r="R79" s="66">
        <f>Inputs!H82</f>
        <v>1.8814999999999998E-2</v>
      </c>
    </row>
    <row r="80" spans="1: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C126" s="35"/>
      <c r="D126" s="35"/>
    </row>
    <row r="127" spans="3:18" x14ac:dyDescent="0.25">
      <c r="C127" s="35"/>
      <c r="D127" s="35"/>
    </row>
    <row r="128" spans="3:18" x14ac:dyDescent="0.25">
      <c r="C128" s="35"/>
      <c r="D128" s="35"/>
    </row>
    <row r="129" spans="3:4" x14ac:dyDescent="0.25">
      <c r="C129" s="35"/>
      <c r="D129" s="35"/>
    </row>
    <row r="130" spans="3:4" x14ac:dyDescent="0.25">
      <c r="C130" s="35"/>
      <c r="D130" s="35"/>
    </row>
    <row r="131" spans="3:4" x14ac:dyDescent="0.25">
      <c r="C131" s="35"/>
      <c r="D131" s="35"/>
    </row>
    <row r="132" spans="3:4" x14ac:dyDescent="0.25">
      <c r="C132" s="35"/>
      <c r="D132" s="35"/>
    </row>
    <row r="134" spans="3:4" x14ac:dyDescent="0.25">
      <c r="C134" s="25"/>
    </row>
    <row r="135" spans="3:4" x14ac:dyDescent="0.25">
      <c r="C135" s="25"/>
    </row>
    <row r="136" spans="3:4" x14ac:dyDescent="0.25">
      <c r="C136" s="25"/>
    </row>
    <row r="137" spans="3:4" x14ac:dyDescent="0.25">
      <c r="C137" s="25"/>
    </row>
    <row r="138" spans="3:4" x14ac:dyDescent="0.25">
      <c r="C138" s="25"/>
    </row>
    <row r="139" spans="3:4" x14ac:dyDescent="0.25">
      <c r="C139" s="25"/>
    </row>
    <row r="140" spans="3:4" x14ac:dyDescent="0.25">
      <c r="C140" s="25"/>
    </row>
    <row r="141" spans="3:4" x14ac:dyDescent="0.25">
      <c r="C141" s="25"/>
    </row>
    <row r="142" spans="3:4" x14ac:dyDescent="0.25">
      <c r="C142" s="25"/>
    </row>
    <row r="143" spans="3:4" x14ac:dyDescent="0.25">
      <c r="C143" s="25"/>
    </row>
    <row r="144" spans="3:4"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70">
    <cfRule type="cellIs" dxfId="31" priority="1" operator="equal">
      <formula>1</formula>
    </cfRule>
  </conditionalFormatting>
  <hyperlinks>
    <hyperlink ref="J1" location="'Read Me'!A1" display="Return to 'Read Me'"/>
    <hyperlink ref="J2" location="Summary!A1" display="Return to 'Summary'"/>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0" workbookViewId="0">
      <selection activeCell="C126" sqref="C126:E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64</v>
      </c>
      <c r="I1" s="3">
        <v>5000</v>
      </c>
      <c r="J1" s="181" t="s">
        <v>173</v>
      </c>
      <c r="L1" s="1"/>
      <c r="M1" s="4"/>
      <c r="N1" s="4"/>
      <c r="O1" s="4"/>
      <c r="P1" s="4"/>
      <c r="Q1" s="64"/>
      <c r="R1" s="28"/>
    </row>
    <row r="2" spans="1:18" ht="15.75" customHeight="1" thickBot="1" x14ac:dyDescent="0.3">
      <c r="B2" t="s">
        <v>227</v>
      </c>
      <c r="C2">
        <v>0</v>
      </c>
      <c r="F2" s="5">
        <f>'Asset and Liability Durations'!N11</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+SUMPRODUCT(B5:B64,I5:I64,F5:F64)/SUMPRODUCT(F5:F64,I5:I64)</f>
        <v>11.74056510355309</v>
      </c>
      <c r="N3" s="10"/>
      <c r="O3" s="10"/>
      <c r="P3" s="10"/>
      <c r="Q3" s="31"/>
      <c r="R3" s="32"/>
    </row>
    <row r="4" spans="1:18" x14ac:dyDescent="0.25">
      <c r="A4">
        <v>60</v>
      </c>
      <c r="B4">
        <v>0</v>
      </c>
      <c r="C4" s="8"/>
      <c r="D4" s="7"/>
      <c r="E4" s="7"/>
      <c r="F4" s="7"/>
      <c r="G4" s="10">
        <v>1</v>
      </c>
      <c r="J4" s="11">
        <f>(SUM(G5:$G$79)*$I$1)</f>
        <v>74781.332519493648</v>
      </c>
      <c r="Q4" s="65">
        <v>0</v>
      </c>
      <c r="R4" s="66">
        <f>Inputs!H7</f>
        <v>1.6050000000000001E-3</v>
      </c>
    </row>
    <row r="5" spans="1:18" ht="15.75" thickBot="1" x14ac:dyDescent="0.3">
      <c r="A5">
        <f>B5+$A$4</f>
        <v>61</v>
      </c>
      <c r="B5">
        <v>1</v>
      </c>
      <c r="C5" s="12">
        <f>VLOOKUP(A5,$Q$4:$R$124,2,FALSE)</f>
        <v>5.6140000000000001E-3</v>
      </c>
      <c r="D5" s="10">
        <f>1-C5</f>
        <v>0.99438599999999999</v>
      </c>
      <c r="E5" s="198">
        <f>IF(B5&lt;=$C$2,1,IF(B5=$C$2+1,PRODUCT($D$5:D5),E4*D5))</f>
        <v>0.99438599999999999</v>
      </c>
      <c r="F5" s="10">
        <f t="shared" ref="F5:F60" si="0">IF(D5=0,0,(1+$F$2)^-B5)</f>
        <v>0.96153846153846145</v>
      </c>
      <c r="G5" s="10">
        <f>F5*E5</f>
        <v>0.95614038461538453</v>
      </c>
      <c r="I5" s="13">
        <f t="shared" ref="I5:I60" si="1">E5*$I$1</f>
        <v>4971.93</v>
      </c>
      <c r="J5" s="11">
        <f>(SUM(G6:$G$79)*$I$1)</f>
        <v>70000.630596416726</v>
      </c>
      <c r="K5" s="11">
        <f>J5-J4</f>
        <v>-4780.701923076922</v>
      </c>
      <c r="L5" s="14" t="s">
        <v>16</v>
      </c>
      <c r="M5" s="14" t="s">
        <v>17</v>
      </c>
      <c r="N5" s="14" t="s">
        <v>18</v>
      </c>
      <c r="O5" s="14" t="s">
        <v>47</v>
      </c>
      <c r="Q5" s="65">
        <v>1</v>
      </c>
      <c r="R5" s="66">
        <f>Inputs!H8</f>
        <v>4.0099999999999999E-4</v>
      </c>
    </row>
    <row r="6" spans="1:18" x14ac:dyDescent="0.25">
      <c r="A6">
        <f t="shared" ref="A6:A60" si="2">B6+$A$4</f>
        <v>62</v>
      </c>
      <c r="B6">
        <v>2</v>
      </c>
      <c r="C6" s="12">
        <f t="shared" ref="C6:C60" si="3">VLOOKUP(A6,$Q$4:$R$124,2,FALSE)</f>
        <v>6.169E-3</v>
      </c>
      <c r="D6" s="10">
        <f t="shared" ref="D6:D60" si="4">1-C6</f>
        <v>0.99383100000000002</v>
      </c>
      <c r="E6" s="198">
        <f>IF(B6&lt;=$C$2,1,IF(B6=$C$2+1,PRODUCT($D$5:D6),E5*D6))</f>
        <v>0.98825163276600003</v>
      </c>
      <c r="F6" s="10">
        <f t="shared" si="0"/>
        <v>0.92455621301775137</v>
      </c>
      <c r="G6" s="10">
        <f t="shared" ref="G6:G60" si="5">F6*E6</f>
        <v>0.91369418709874251</v>
      </c>
      <c r="I6" s="13">
        <f t="shared" si="1"/>
        <v>4941.2581638299998</v>
      </c>
      <c r="J6" s="11">
        <f>(SUM(G7:$G$79)*$I$1)</f>
        <v>65432.159660922996</v>
      </c>
      <c r="K6" s="11">
        <f t="shared" ref="K6:K60" si="6">J6-J5</f>
        <v>-4568.4709354937295</v>
      </c>
      <c r="L6" s="14">
        <v>2</v>
      </c>
      <c r="M6" s="54" t="s">
        <v>44</v>
      </c>
      <c r="N6" s="15">
        <f>SUM(I5:I7)</f>
        <v>14821.048363730673</v>
      </c>
      <c r="O6" s="16">
        <f>N6/SUM($N$6:$N$9)</f>
        <v>0.11774737410530313</v>
      </c>
      <c r="Q6" s="65">
        <v>2</v>
      </c>
      <c r="R6" s="66">
        <f>Inputs!H9</f>
        <v>2.7500000000000002E-4</v>
      </c>
    </row>
    <row r="7" spans="1:18" x14ac:dyDescent="0.25">
      <c r="A7">
        <f t="shared" si="2"/>
        <v>63</v>
      </c>
      <c r="B7">
        <v>3</v>
      </c>
      <c r="C7" s="12">
        <f t="shared" si="3"/>
        <v>6.7590000000000003E-3</v>
      </c>
      <c r="D7" s="10">
        <f t="shared" si="4"/>
        <v>0.99324100000000004</v>
      </c>
      <c r="E7" s="198">
        <f>IF(B7&lt;=$C$2,1,IF(B7=$C$2+1,PRODUCT($D$5:D7),E6*D7))</f>
        <v>0.98157203998013465</v>
      </c>
      <c r="F7" s="10">
        <f t="shared" si="0"/>
        <v>0.88899635867091487</v>
      </c>
      <c r="G7" s="10">
        <f t="shared" si="5"/>
        <v>0.87261396931552138</v>
      </c>
      <c r="I7" s="13">
        <f t="shared" si="1"/>
        <v>4907.8601999006733</v>
      </c>
      <c r="J7" s="11">
        <f>(SUM(G8:$G$79)*$I$1)</f>
        <v>61069.089814345396</v>
      </c>
      <c r="K7" s="11">
        <f t="shared" si="6"/>
        <v>-4363.0698465776004</v>
      </c>
      <c r="L7" s="14">
        <v>5</v>
      </c>
      <c r="M7" s="19" t="s">
        <v>45</v>
      </c>
      <c r="N7" s="17">
        <f>SUM(I8:I11)</f>
        <v>19241.651127923506</v>
      </c>
      <c r="O7" s="18">
        <f>N7/SUM($N$6:$N$9)</f>
        <v>0.15286731668103395</v>
      </c>
      <c r="Q7" s="65">
        <v>3</v>
      </c>
      <c r="R7" s="66">
        <f>Inputs!H10</f>
        <v>2.2900000000000001E-4</v>
      </c>
    </row>
    <row r="8" spans="1:18" x14ac:dyDescent="0.25">
      <c r="A8">
        <f t="shared" si="2"/>
        <v>64</v>
      </c>
      <c r="B8">
        <v>4</v>
      </c>
      <c r="C8" s="12">
        <f t="shared" si="3"/>
        <v>7.3980000000000001E-3</v>
      </c>
      <c r="D8" s="10">
        <f t="shared" si="4"/>
        <v>0.99260199999999998</v>
      </c>
      <c r="E8" s="198">
        <f>IF(B8&lt;=$C$2,1,IF(B8=$C$2+1,PRODUCT($D$5:D8),E7*D8))</f>
        <v>0.97431037002836163</v>
      </c>
      <c r="F8" s="10">
        <f t="shared" si="0"/>
        <v>0.85480419102972571</v>
      </c>
      <c r="G8" s="10">
        <f t="shared" si="5"/>
        <v>0.83284458766396641</v>
      </c>
      <c r="I8" s="13">
        <f t="shared" si="1"/>
        <v>4871.5518501418082</v>
      </c>
      <c r="J8" s="11">
        <f>(SUM(G9:$G$79)*$I$1)</f>
        <v>56904.86687602556</v>
      </c>
      <c r="K8" s="11">
        <f t="shared" si="6"/>
        <v>-4164.2229383198355</v>
      </c>
      <c r="L8" s="14">
        <v>10</v>
      </c>
      <c r="M8" s="19" t="s">
        <v>46</v>
      </c>
      <c r="N8" s="17">
        <f>SUM(I12:I19)</f>
        <v>35980.196808015913</v>
      </c>
      <c r="O8" s="18">
        <f>N8/SUM($N$6:$N$9)</f>
        <v>0.28584844944595245</v>
      </c>
      <c r="Q8" s="65">
        <v>4</v>
      </c>
      <c r="R8" s="66">
        <f>Inputs!H11</f>
        <v>1.74E-4</v>
      </c>
    </row>
    <row r="9" spans="1:18" ht="15.75" thickBot="1" x14ac:dyDescent="0.3">
      <c r="A9">
        <f t="shared" si="2"/>
        <v>65</v>
      </c>
      <c r="B9">
        <v>5</v>
      </c>
      <c r="C9" s="12">
        <f t="shared" si="3"/>
        <v>8.1060000000000004E-3</v>
      </c>
      <c r="D9" s="10">
        <f t="shared" si="4"/>
        <v>0.99189400000000005</v>
      </c>
      <c r="E9" s="198">
        <f>IF(B9&lt;=$C$2,1,IF(B9=$C$2+1,PRODUCT($D$5:D9),E8*D9))</f>
        <v>0.96641261016891178</v>
      </c>
      <c r="F9" s="10">
        <f t="shared" si="0"/>
        <v>0.82192710675935154</v>
      </c>
      <c r="G9" s="10">
        <f t="shared" si="5"/>
        <v>0.79432072061188674</v>
      </c>
      <c r="I9" s="13">
        <f t="shared" si="1"/>
        <v>4832.0630508445593</v>
      </c>
      <c r="J9" s="11">
        <f>(SUM(G10:$G$79)*$I$1)</f>
        <v>52933.263272966113</v>
      </c>
      <c r="K9" s="11">
        <f t="shared" si="6"/>
        <v>-3971.6036030594478</v>
      </c>
      <c r="L9" s="14">
        <v>30</v>
      </c>
      <c r="M9" s="20" t="s">
        <v>48</v>
      </c>
      <c r="N9" s="21">
        <f>SUM(I20:I70)</f>
        <v>55828.686623920206</v>
      </c>
      <c r="O9" s="22">
        <f>N9/SUM($N$6:$N$9)</f>
        <v>0.4435368597677104</v>
      </c>
      <c r="Q9" s="65">
        <v>5</v>
      </c>
      <c r="R9" s="66">
        <f>Inputs!H12</f>
        <v>1.6799999999999999E-4</v>
      </c>
    </row>
    <row r="10" spans="1:18" x14ac:dyDescent="0.25">
      <c r="A10">
        <f t="shared" si="2"/>
        <v>66</v>
      </c>
      <c r="B10">
        <v>6</v>
      </c>
      <c r="C10" s="12">
        <f t="shared" si="3"/>
        <v>8.548E-3</v>
      </c>
      <c r="D10" s="10">
        <f t="shared" si="4"/>
        <v>0.991452</v>
      </c>
      <c r="E10" s="198">
        <f>IF(B10&lt;=$C$2,1,IF(B10=$C$2+1,PRODUCT($D$5:D10),E9*D10))</f>
        <v>0.95815171517718789</v>
      </c>
      <c r="F10" s="10">
        <f t="shared" si="0"/>
        <v>0.79031452573014571</v>
      </c>
      <c r="G10" s="10">
        <f t="shared" si="5"/>
        <v>0.75724121835778491</v>
      </c>
      <c r="I10" s="13">
        <f t="shared" si="1"/>
        <v>4790.7585758859395</v>
      </c>
      <c r="J10" s="11">
        <f>(SUM(G11:$G$79)*$I$1)</f>
        <v>49147.057181177195</v>
      </c>
      <c r="K10" s="11">
        <f t="shared" si="6"/>
        <v>-3786.2060917889175</v>
      </c>
      <c r="L10" s="53">
        <f>+SUMPRODUCT(L6:L9,O6:O9)</f>
        <v>17.164421619106612</v>
      </c>
      <c r="O10" s="23">
        <f>SUM(O6:O9)</f>
        <v>0.99999999999999989</v>
      </c>
      <c r="Q10" s="65">
        <v>6</v>
      </c>
      <c r="R10" s="66">
        <f>Inputs!H13</f>
        <v>1.65E-4</v>
      </c>
    </row>
    <row r="11" spans="1:18" x14ac:dyDescent="0.25">
      <c r="A11">
        <f t="shared" si="2"/>
        <v>67</v>
      </c>
      <c r="B11">
        <v>7</v>
      </c>
      <c r="C11" s="12">
        <f t="shared" si="3"/>
        <v>9.0760000000000007E-3</v>
      </c>
      <c r="D11" s="10">
        <f t="shared" si="4"/>
        <v>0.99092400000000003</v>
      </c>
      <c r="E11" s="198">
        <f>IF(B11&lt;=$C$2,1,IF(B11=$C$2+1,PRODUCT($D$5:D11),E10*D11))</f>
        <v>0.94945553021023976</v>
      </c>
      <c r="F11" s="10">
        <f t="shared" si="0"/>
        <v>0.75991781320206331</v>
      </c>
      <c r="G11" s="10">
        <f t="shared" si="5"/>
        <v>0.72150817024997094</v>
      </c>
      <c r="I11" s="13">
        <f t="shared" si="1"/>
        <v>4747.2776510511985</v>
      </c>
      <c r="J11" s="11">
        <f>(SUM(G12:$G$79)*$I$1)</f>
        <v>45539.516329927341</v>
      </c>
      <c r="K11" s="11">
        <f t="shared" si="6"/>
        <v>-3607.5408512498543</v>
      </c>
      <c r="Q11" s="65">
        <v>7</v>
      </c>
      <c r="R11" s="66">
        <f>Inputs!H14</f>
        <v>1.5899999999999999E-4</v>
      </c>
    </row>
    <row r="12" spans="1:18" x14ac:dyDescent="0.25">
      <c r="A12">
        <f t="shared" si="2"/>
        <v>68</v>
      </c>
      <c r="B12">
        <v>8</v>
      </c>
      <c r="C12" s="12">
        <f t="shared" si="3"/>
        <v>9.7079999999999996E-3</v>
      </c>
      <c r="D12" s="10">
        <f t="shared" si="4"/>
        <v>0.99029199999999995</v>
      </c>
      <c r="E12" s="198">
        <f>IF(B12&lt;=$C$2,1,IF(B12=$C$2+1,PRODUCT($D$5:D12),E11*D12))</f>
        <v>0.94023821592295875</v>
      </c>
      <c r="F12" s="10">
        <f t="shared" si="0"/>
        <v>0.73069020500198378</v>
      </c>
      <c r="G12" s="10">
        <f t="shared" si="5"/>
        <v>0.68702285474344627</v>
      </c>
      <c r="I12" s="13">
        <f t="shared" si="1"/>
        <v>4701.191079614794</v>
      </c>
      <c r="J12" s="11">
        <f>(SUM(G13:$G$79)*$I$1)</f>
        <v>42104.4020562101</v>
      </c>
      <c r="K12" s="11">
        <f t="shared" si="6"/>
        <v>-3435.1142737172413</v>
      </c>
      <c r="Q12" s="65">
        <v>8</v>
      </c>
      <c r="R12" s="66">
        <f>Inputs!H15</f>
        <v>1.4300000000000001E-4</v>
      </c>
    </row>
    <row r="13" spans="1:18" x14ac:dyDescent="0.25">
      <c r="A13">
        <f t="shared" si="2"/>
        <v>69</v>
      </c>
      <c r="B13">
        <v>9</v>
      </c>
      <c r="C13" s="12">
        <f t="shared" si="3"/>
        <v>1.0463E-2</v>
      </c>
      <c r="D13" s="10">
        <f t="shared" si="4"/>
        <v>0.989537</v>
      </c>
      <c r="E13" s="198">
        <f>IF(B13&lt;=$C$2,1,IF(B13=$C$2+1,PRODUCT($D$5:D13),E12*D13))</f>
        <v>0.93040050346975689</v>
      </c>
      <c r="F13" s="10">
        <f t="shared" si="0"/>
        <v>0.70258673557883045</v>
      </c>
      <c r="G13" s="10">
        <f t="shared" si="5"/>
        <v>0.65368705251371684</v>
      </c>
      <c r="I13" s="13">
        <f t="shared" si="1"/>
        <v>4652.0025173487847</v>
      </c>
      <c r="J13" s="11">
        <f>(SUM(G14:$G$79)*$I$1)</f>
        <v>38835.966793641521</v>
      </c>
      <c r="K13" s="11">
        <f t="shared" si="6"/>
        <v>-3268.4352625685788</v>
      </c>
      <c r="Q13" s="65">
        <v>9</v>
      </c>
      <c r="R13" s="66">
        <f>Inputs!H16</f>
        <v>1.2899999999999999E-4</v>
      </c>
    </row>
    <row r="14" spans="1:18" x14ac:dyDescent="0.25">
      <c r="A14">
        <f t="shared" si="2"/>
        <v>70</v>
      </c>
      <c r="B14">
        <v>10</v>
      </c>
      <c r="C14" s="12">
        <f t="shared" si="3"/>
        <v>1.1357000000000001E-2</v>
      </c>
      <c r="D14" s="10">
        <f t="shared" si="4"/>
        <v>0.98864300000000005</v>
      </c>
      <c r="E14" s="198">
        <f>IF(B14&lt;=$C$2,1,IF(B14=$C$2+1,PRODUCT($D$5:D14),E13*D14))</f>
        <v>0.91983394495185089</v>
      </c>
      <c r="F14" s="10">
        <f t="shared" si="0"/>
        <v>0.67556416882579851</v>
      </c>
      <c r="G14" s="10">
        <f t="shared" si="5"/>
        <v>0.62140685447915245</v>
      </c>
      <c r="I14" s="13">
        <f t="shared" si="1"/>
        <v>4599.1697247592547</v>
      </c>
      <c r="J14" s="11">
        <f>(SUM(G15:$G$79)*$I$1)</f>
        <v>35728.932521245755</v>
      </c>
      <c r="K14" s="11">
        <f t="shared" si="6"/>
        <v>-3107.0342723957656</v>
      </c>
      <c r="Q14" s="65">
        <v>10</v>
      </c>
      <c r="R14" s="66">
        <f>Inputs!H17</f>
        <v>1.13E-4</v>
      </c>
    </row>
    <row r="15" spans="1:18" x14ac:dyDescent="0.25">
      <c r="A15">
        <f t="shared" si="2"/>
        <v>71</v>
      </c>
      <c r="B15">
        <v>11</v>
      </c>
      <c r="C15" s="12">
        <f t="shared" si="3"/>
        <v>1.2418E-2</v>
      </c>
      <c r="D15" s="10">
        <f t="shared" si="4"/>
        <v>0.98758199999999996</v>
      </c>
      <c r="E15" s="198">
        <f>IF(B15&lt;=$C$2,1,IF(B15=$C$2+1,PRODUCT($D$5:D15),E14*D15))</f>
        <v>0.90841144702343879</v>
      </c>
      <c r="F15" s="10">
        <f t="shared" si="0"/>
        <v>0.6495809315632679</v>
      </c>
      <c r="G15" s="10">
        <f t="shared" si="5"/>
        <v>0.59008675400022159</v>
      </c>
      <c r="I15" s="13">
        <f t="shared" si="1"/>
        <v>4542.0572351171941</v>
      </c>
      <c r="J15" s="11">
        <f>(SUM(G16:$G$79)*$I$1)</f>
        <v>32778.498751244646</v>
      </c>
      <c r="K15" s="11">
        <f t="shared" si="6"/>
        <v>-2950.4337700011092</v>
      </c>
      <c r="Q15" s="65">
        <v>11</v>
      </c>
      <c r="R15" s="66">
        <f>Inputs!H18</f>
        <v>1.11E-4</v>
      </c>
    </row>
    <row r="16" spans="1:18" x14ac:dyDescent="0.25">
      <c r="A16">
        <f t="shared" si="2"/>
        <v>72</v>
      </c>
      <c r="B16">
        <v>12</v>
      </c>
      <c r="C16" s="12">
        <f t="shared" si="3"/>
        <v>1.3675E-2</v>
      </c>
      <c r="D16" s="10">
        <f t="shared" si="4"/>
        <v>0.98632500000000001</v>
      </c>
      <c r="E16" s="198">
        <f>IF(B16&lt;=$C$2,1,IF(B16=$C$2+1,PRODUCT($D$5:D16),E15*D16))</f>
        <v>0.89598892048539325</v>
      </c>
      <c r="F16" s="10">
        <f t="shared" si="0"/>
        <v>0.62459704958006512</v>
      </c>
      <c r="G16" s="10">
        <f t="shared" si="5"/>
        <v>0.55963203619160418</v>
      </c>
      <c r="I16" s="13">
        <f t="shared" si="1"/>
        <v>4479.9446024269664</v>
      </c>
      <c r="J16" s="11">
        <f>(SUM(G17:$G$79)*$I$1)</f>
        <v>29980.338570286633</v>
      </c>
      <c r="K16" s="11">
        <f t="shared" si="6"/>
        <v>-2798.1601809580134</v>
      </c>
      <c r="Q16" s="65">
        <v>12</v>
      </c>
      <c r="R16" s="66">
        <f>Inputs!H19</f>
        <v>1.3200000000000001E-4</v>
      </c>
    </row>
    <row r="17" spans="1:18" x14ac:dyDescent="0.25">
      <c r="A17">
        <f t="shared" si="2"/>
        <v>73</v>
      </c>
      <c r="B17">
        <v>13</v>
      </c>
      <c r="C17" s="12">
        <f t="shared" si="3"/>
        <v>1.515E-2</v>
      </c>
      <c r="D17" s="10">
        <f t="shared" si="4"/>
        <v>0.98485</v>
      </c>
      <c r="E17" s="198">
        <f>IF(B17&lt;=$C$2,1,IF(B17=$C$2+1,PRODUCT($D$5:D17),E16*D17))</f>
        <v>0.88241468834003955</v>
      </c>
      <c r="F17" s="10">
        <f t="shared" si="0"/>
        <v>0.600574086134678</v>
      </c>
      <c r="G17" s="10">
        <f t="shared" si="5"/>
        <v>0.52995539504163591</v>
      </c>
      <c r="I17" s="13">
        <f t="shared" si="1"/>
        <v>4412.0734417001977</v>
      </c>
      <c r="J17" s="11">
        <f>(SUM(G18:$G$79)*$I$1)</f>
        <v>27330.561595078452</v>
      </c>
      <c r="K17" s="11">
        <f t="shared" si="6"/>
        <v>-2649.7769752081804</v>
      </c>
      <c r="Q17" s="65">
        <v>13</v>
      </c>
      <c r="R17" s="66">
        <f>Inputs!H20</f>
        <v>1.6899999999999999E-4</v>
      </c>
    </row>
    <row r="18" spans="1:18" x14ac:dyDescent="0.25">
      <c r="A18">
        <f t="shared" si="2"/>
        <v>74</v>
      </c>
      <c r="B18">
        <v>14</v>
      </c>
      <c r="C18" s="12">
        <f t="shared" si="3"/>
        <v>1.686E-2</v>
      </c>
      <c r="D18" s="10">
        <f t="shared" si="4"/>
        <v>0.98314000000000001</v>
      </c>
      <c r="E18" s="198">
        <f>IF(B18&lt;=$C$2,1,IF(B18=$C$2+1,PRODUCT($D$5:D18),E17*D18))</f>
        <v>0.86753717669462649</v>
      </c>
      <c r="F18" s="10">
        <f t="shared" si="0"/>
        <v>0.57747508282180582</v>
      </c>
      <c r="G18" s="10">
        <f t="shared" si="5"/>
        <v>0.50098110296272502</v>
      </c>
      <c r="I18" s="13">
        <f t="shared" si="1"/>
        <v>4337.6858834731329</v>
      </c>
      <c r="J18" s="11">
        <f>(SUM(G19:$G$79)*$I$1)</f>
        <v>24825.656080264831</v>
      </c>
      <c r="K18" s="11">
        <f t="shared" si="6"/>
        <v>-2504.9055148136213</v>
      </c>
      <c r="Q18" s="65">
        <v>14</v>
      </c>
      <c r="R18" s="66">
        <f>Inputs!H21</f>
        <v>2.13E-4</v>
      </c>
    </row>
    <row r="19" spans="1:18" x14ac:dyDescent="0.25">
      <c r="A19">
        <f t="shared" si="2"/>
        <v>75</v>
      </c>
      <c r="B19">
        <v>15</v>
      </c>
      <c r="C19" s="12">
        <f t="shared" si="3"/>
        <v>1.8814999999999998E-2</v>
      </c>
      <c r="D19" s="10">
        <f t="shared" si="4"/>
        <v>0.98118499999999997</v>
      </c>
      <c r="E19" s="198">
        <f>IF(B19&lt;=$C$2,1,IF(B19=$C$2+1,PRODUCT($D$5:D19),E18*D19))</f>
        <v>0.85121446471511708</v>
      </c>
      <c r="F19" s="10">
        <f t="shared" si="0"/>
        <v>0.55526450271327477</v>
      </c>
      <c r="G19" s="10">
        <f t="shared" si="5"/>
        <v>0.47264917645238586</v>
      </c>
      <c r="I19" s="13">
        <f t="shared" si="1"/>
        <v>4256.072323575585</v>
      </c>
      <c r="J19" s="11">
        <f>(SUM(G20:$G$79)*$I$1)</f>
        <v>22462.410198002897</v>
      </c>
      <c r="K19" s="11">
        <f t="shared" si="6"/>
        <v>-2363.2458822619337</v>
      </c>
      <c r="Q19" s="65">
        <v>15</v>
      </c>
      <c r="R19" s="66">
        <f>Inputs!H22</f>
        <v>2.5399999999999999E-4</v>
      </c>
    </row>
    <row r="20" spans="1:18" x14ac:dyDescent="0.25">
      <c r="A20">
        <f t="shared" si="2"/>
        <v>76</v>
      </c>
      <c r="B20">
        <v>16</v>
      </c>
      <c r="C20" s="12">
        <f t="shared" si="3"/>
        <v>2.1031000000000001E-2</v>
      </c>
      <c r="D20" s="10">
        <f t="shared" si="4"/>
        <v>0.97896899999999998</v>
      </c>
      <c r="E20" s="198">
        <f>IF(B20&lt;=$C$2,1,IF(B20=$C$2+1,PRODUCT($D$5:D20),E19*D20))</f>
        <v>0.83331257330769348</v>
      </c>
      <c r="F20" s="10">
        <f t="shared" si="0"/>
        <v>0.53390817568584104</v>
      </c>
      <c r="G20" s="10">
        <f t="shared" si="5"/>
        <v>0.44491239579078429</v>
      </c>
      <c r="I20" s="13">
        <f t="shared" si="1"/>
        <v>4166.5628665384675</v>
      </c>
      <c r="J20" s="11">
        <f>(SUM(G21:$G$79)*$I$1)</f>
        <v>20237.848219048985</v>
      </c>
      <c r="K20" s="11">
        <f t="shared" si="6"/>
        <v>-2224.5619789539123</v>
      </c>
      <c r="Q20" s="65">
        <v>16</v>
      </c>
      <c r="R20" s="66">
        <f>Inputs!H23</f>
        <v>2.9300000000000002E-4</v>
      </c>
    </row>
    <row r="21" spans="1:18" x14ac:dyDescent="0.25">
      <c r="A21">
        <f t="shared" si="2"/>
        <v>77</v>
      </c>
      <c r="B21">
        <v>17</v>
      </c>
      <c r="C21" s="12">
        <f t="shared" si="3"/>
        <v>2.3539999999999998E-2</v>
      </c>
      <c r="D21" s="10">
        <f t="shared" si="4"/>
        <v>0.97645999999999999</v>
      </c>
      <c r="E21" s="198">
        <f>IF(B21&lt;=$C$2,1,IF(B21=$C$2+1,PRODUCT($D$5:D21),E20*D21))</f>
        <v>0.81369639533203042</v>
      </c>
      <c r="F21" s="10">
        <f t="shared" si="0"/>
        <v>0.51337324585177024</v>
      </c>
      <c r="G21" s="10">
        <f t="shared" si="5"/>
        <v>0.41772995960948966</v>
      </c>
      <c r="I21" s="13">
        <f t="shared" si="1"/>
        <v>4068.4819766601522</v>
      </c>
      <c r="J21" s="11">
        <f>(SUM(G22:$G$79)*$I$1)</f>
        <v>18149.198421001536</v>
      </c>
      <c r="K21" s="11">
        <f t="shared" si="6"/>
        <v>-2088.6497980474487</v>
      </c>
      <c r="Q21" s="65">
        <v>17</v>
      </c>
      <c r="R21" s="66">
        <f>Inputs!H24</f>
        <v>3.28E-4</v>
      </c>
    </row>
    <row r="22" spans="1:18" x14ac:dyDescent="0.25">
      <c r="A22">
        <f t="shared" si="2"/>
        <v>78</v>
      </c>
      <c r="B22">
        <v>18</v>
      </c>
      <c r="C22" s="12">
        <f t="shared" si="3"/>
        <v>2.6374999999999999E-2</v>
      </c>
      <c r="D22" s="10">
        <f t="shared" si="4"/>
        <v>0.97362499999999996</v>
      </c>
      <c r="E22" s="198">
        <f>IF(B22&lt;=$C$2,1,IF(B22=$C$2+1,PRODUCT($D$5:D22),E21*D22))</f>
        <v>0.79223515290514812</v>
      </c>
      <c r="F22" s="10">
        <f t="shared" si="0"/>
        <v>0.49362812101131748</v>
      </c>
      <c r="G22" s="10">
        <f t="shared" si="5"/>
        <v>0.39106954992768206</v>
      </c>
      <c r="I22" s="13">
        <f t="shared" si="1"/>
        <v>3961.1757645257408</v>
      </c>
      <c r="J22" s="11">
        <f>(SUM(G23:$G$79)*$I$1)</f>
        <v>16193.850671363123</v>
      </c>
      <c r="K22" s="11">
        <f t="shared" si="6"/>
        <v>-1955.347749638413</v>
      </c>
      <c r="Q22" s="65">
        <v>18</v>
      </c>
      <c r="R22" s="66">
        <f>Inputs!H25</f>
        <v>3.59E-4</v>
      </c>
    </row>
    <row r="23" spans="1:18" x14ac:dyDescent="0.25">
      <c r="A23">
        <f t="shared" si="2"/>
        <v>79</v>
      </c>
      <c r="B23">
        <v>19</v>
      </c>
      <c r="C23" s="12">
        <f t="shared" si="3"/>
        <v>2.9572000000000001E-2</v>
      </c>
      <c r="D23" s="10">
        <f t="shared" si="4"/>
        <v>0.97042799999999996</v>
      </c>
      <c r="E23" s="198">
        <f>IF(B23&lt;=$C$2,1,IF(B23=$C$2+1,PRODUCT($D$5:D23),E22*D23))</f>
        <v>0.76880717496343709</v>
      </c>
      <c r="F23" s="10">
        <f t="shared" si="0"/>
        <v>0.47464242404934376</v>
      </c>
      <c r="G23" s="10">
        <f t="shared" si="5"/>
        <v>0.36490850115117374</v>
      </c>
      <c r="I23" s="13">
        <f t="shared" si="1"/>
        <v>3844.0358748171852</v>
      </c>
      <c r="J23" s="11">
        <f>(SUM(G24:$G$79)*$I$1)</f>
        <v>14369.308165607255</v>
      </c>
      <c r="K23" s="11">
        <f t="shared" si="6"/>
        <v>-1824.5425057558678</v>
      </c>
      <c r="Q23" s="65">
        <v>19</v>
      </c>
      <c r="R23" s="66">
        <f>Inputs!H26</f>
        <v>3.8699999999999997E-4</v>
      </c>
    </row>
    <row r="24" spans="1:18" x14ac:dyDescent="0.25">
      <c r="A24">
        <f t="shared" si="2"/>
        <v>80</v>
      </c>
      <c r="B24">
        <v>20</v>
      </c>
      <c r="C24" s="12">
        <f t="shared" si="3"/>
        <v>3.3234E-2</v>
      </c>
      <c r="D24" s="10">
        <f t="shared" si="4"/>
        <v>0.96676600000000001</v>
      </c>
      <c r="E24" s="198">
        <f>IF(B24&lt;=$C$2,1,IF(B24=$C$2+1,PRODUCT($D$5:D24),E23*D24))</f>
        <v>0.74325663731070224</v>
      </c>
      <c r="F24" s="10">
        <f t="shared" si="0"/>
        <v>0.45638694620129205</v>
      </c>
      <c r="G24" s="10">
        <f t="shared" si="5"/>
        <v>0.33921262694607268</v>
      </c>
      <c r="I24" s="13">
        <f t="shared" si="1"/>
        <v>3716.2831865535113</v>
      </c>
      <c r="J24" s="11">
        <f>(SUM(G25:$G$79)*$I$1)</f>
        <v>12673.245030876891</v>
      </c>
      <c r="K24" s="11">
        <f t="shared" si="6"/>
        <v>-1696.0631347303643</v>
      </c>
      <c r="Q24" s="65">
        <v>20</v>
      </c>
      <c r="R24" s="66">
        <f>Inputs!H27</f>
        <v>4.1399999999999998E-4</v>
      </c>
    </row>
    <row r="25" spans="1:18" x14ac:dyDescent="0.25">
      <c r="A25">
        <f t="shared" si="2"/>
        <v>81</v>
      </c>
      <c r="B25">
        <v>21</v>
      </c>
      <c r="C25" s="12">
        <f t="shared" si="3"/>
        <v>3.7532999999999997E-2</v>
      </c>
      <c r="D25" s="10">
        <f t="shared" si="4"/>
        <v>0.96246699999999996</v>
      </c>
      <c r="E25" s="198">
        <f>IF(B25&lt;=$C$2,1,IF(B25=$C$2+1,PRODUCT($D$5:D25),E24*D25))</f>
        <v>0.71535998594251959</v>
      </c>
      <c r="F25" s="10">
        <f t="shared" si="0"/>
        <v>0.43883360211662686</v>
      </c>
      <c r="G25" s="10">
        <f t="shared" si="5"/>
        <v>0.31392399944125543</v>
      </c>
      <c r="I25" s="13">
        <f t="shared" si="1"/>
        <v>3576.799929712598</v>
      </c>
      <c r="J25" s="11">
        <f>(SUM(G26:$G$79)*$I$1)</f>
        <v>11103.625033670613</v>
      </c>
      <c r="K25" s="11">
        <f t="shared" si="6"/>
        <v>-1569.6199972062786</v>
      </c>
      <c r="Q25" s="65">
        <v>21</v>
      </c>
      <c r="R25" s="66">
        <f>Inputs!H28</f>
        <v>4.4299999999999998E-4</v>
      </c>
    </row>
    <row r="26" spans="1:18" x14ac:dyDescent="0.25">
      <c r="A26">
        <f t="shared" si="2"/>
        <v>82</v>
      </c>
      <c r="B26">
        <v>22</v>
      </c>
      <c r="C26" s="12">
        <f t="shared" si="3"/>
        <v>4.2261E-2</v>
      </c>
      <c r="D26" s="10">
        <f t="shared" si="4"/>
        <v>0.95773900000000001</v>
      </c>
      <c r="E26" s="198">
        <f>IF(B26&lt;=$C$2,1,IF(B26=$C$2+1,PRODUCT($D$5:D26),E25*D26))</f>
        <v>0.68512815757660273</v>
      </c>
      <c r="F26" s="10">
        <f t="shared" si="0"/>
        <v>0.42195538665060278</v>
      </c>
      <c r="G26" s="10">
        <f t="shared" si="5"/>
        <v>0.28909351663545052</v>
      </c>
      <c r="I26" s="13">
        <f t="shared" si="1"/>
        <v>3425.6407878830137</v>
      </c>
      <c r="J26" s="11">
        <f>(SUM(G27:$G$79)*$I$1)</f>
        <v>9658.1574504933578</v>
      </c>
      <c r="K26" s="11">
        <f t="shared" si="6"/>
        <v>-1445.4675831772547</v>
      </c>
      <c r="Q26" s="65">
        <v>22</v>
      </c>
      <c r="R26" s="66">
        <f>Inputs!H29</f>
        <v>4.73E-4</v>
      </c>
    </row>
    <row r="27" spans="1:18" x14ac:dyDescent="0.25">
      <c r="A27">
        <f t="shared" si="2"/>
        <v>83</v>
      </c>
      <c r="B27">
        <v>23</v>
      </c>
      <c r="C27" s="12">
        <f t="shared" si="3"/>
        <v>4.7440999999999997E-2</v>
      </c>
      <c r="D27" s="10">
        <f t="shared" si="4"/>
        <v>0.95255900000000004</v>
      </c>
      <c r="E27" s="198">
        <f>IF(B27&lt;=$C$2,1,IF(B27=$C$2+1,PRODUCT($D$5:D27),E26*D27))</f>
        <v>0.6526249926530111</v>
      </c>
      <c r="F27" s="10">
        <f t="shared" si="0"/>
        <v>0.40572633331788732</v>
      </c>
      <c r="G27" s="10">
        <f t="shared" si="5"/>
        <v>0.26478714530071934</v>
      </c>
      <c r="I27" s="13">
        <f t="shared" si="1"/>
        <v>3263.1249632650556</v>
      </c>
      <c r="J27" s="11">
        <f>(SUM(G28:$G$79)*$I$1)</f>
        <v>8334.2217239897618</v>
      </c>
      <c r="K27" s="11">
        <f t="shared" si="6"/>
        <v>-1323.935726503596</v>
      </c>
      <c r="Q27" s="65">
        <v>23</v>
      </c>
      <c r="R27" s="66">
        <f>Inputs!H30</f>
        <v>5.13E-4</v>
      </c>
    </row>
    <row r="28" spans="1:18" x14ac:dyDescent="0.25">
      <c r="A28">
        <f t="shared" si="2"/>
        <v>84</v>
      </c>
      <c r="B28">
        <v>24</v>
      </c>
      <c r="C28" s="12">
        <f t="shared" si="3"/>
        <v>5.3233000000000003E-2</v>
      </c>
      <c r="D28" s="10">
        <f t="shared" si="4"/>
        <v>0.94676700000000003</v>
      </c>
      <c r="E28" s="198">
        <f>IF(B28&lt;=$C$2,1,IF(B28=$C$2+1,PRODUCT($D$5:D28),E27*D28))</f>
        <v>0.61788380641911334</v>
      </c>
      <c r="F28" s="10">
        <f t="shared" si="0"/>
        <v>0.39012147434412242</v>
      </c>
      <c r="G28" s="10">
        <f t="shared" si="5"/>
        <v>0.24104974153358283</v>
      </c>
      <c r="I28" s="13">
        <f t="shared" si="1"/>
        <v>3089.4190320955668</v>
      </c>
      <c r="J28" s="11">
        <f>(SUM(G29:$G$79)*$I$1)</f>
        <v>7128.9730163218464</v>
      </c>
      <c r="K28" s="11">
        <f t="shared" si="6"/>
        <v>-1205.2487076679154</v>
      </c>
      <c r="Q28" s="65">
        <v>24</v>
      </c>
      <c r="R28" s="66">
        <f>Inputs!H31</f>
        <v>5.5400000000000002E-4</v>
      </c>
    </row>
    <row r="29" spans="1:18" x14ac:dyDescent="0.25">
      <c r="A29">
        <f t="shared" si="2"/>
        <v>85</v>
      </c>
      <c r="B29">
        <v>25</v>
      </c>
      <c r="C29" s="12">
        <f t="shared" si="3"/>
        <v>5.9854999999999998E-2</v>
      </c>
      <c r="D29" s="10">
        <f t="shared" si="4"/>
        <v>0.94014500000000001</v>
      </c>
      <c r="E29" s="198">
        <f>IF(B29&lt;=$C$2,1,IF(B29=$C$2+1,PRODUCT($D$5:D29),E28*D29))</f>
        <v>0.58090037118589732</v>
      </c>
      <c r="F29" s="10">
        <f t="shared" si="0"/>
        <v>0.37511680225396377</v>
      </c>
      <c r="G29" s="10">
        <f t="shared" si="5"/>
        <v>0.2179054896673944</v>
      </c>
      <c r="I29" s="13">
        <f t="shared" si="1"/>
        <v>2904.5018559294867</v>
      </c>
      <c r="J29" s="11">
        <f>(SUM(G30:$G$79)*$I$1)</f>
        <v>6039.4455679848761</v>
      </c>
      <c r="K29" s="11">
        <f t="shared" si="6"/>
        <v>-1089.5274483369703</v>
      </c>
      <c r="Q29" s="65">
        <v>25</v>
      </c>
      <c r="R29" s="66">
        <f>Inputs!H32</f>
        <v>6.02E-4</v>
      </c>
    </row>
    <row r="30" spans="1:18" x14ac:dyDescent="0.25">
      <c r="A30">
        <f t="shared" si="2"/>
        <v>86</v>
      </c>
      <c r="B30">
        <v>26</v>
      </c>
      <c r="C30" s="12">
        <f t="shared" si="3"/>
        <v>6.7514000000000005E-2</v>
      </c>
      <c r="D30" s="10">
        <f t="shared" si="4"/>
        <v>0.93248600000000004</v>
      </c>
      <c r="E30" s="198">
        <f>IF(B30&lt;=$C$2,1,IF(B30=$C$2+1,PRODUCT($D$5:D30),E29*D30))</f>
        <v>0.54168146352565272</v>
      </c>
      <c r="F30" s="10">
        <f t="shared" si="0"/>
        <v>0.36068923293650368</v>
      </c>
      <c r="G30" s="10">
        <f t="shared" si="5"/>
        <v>0.19537867157499036</v>
      </c>
      <c r="I30" s="13">
        <f t="shared" si="1"/>
        <v>2708.4073176282636</v>
      </c>
      <c r="J30" s="11">
        <f>(SUM(G31:$G$79)*$I$1)</f>
        <v>5062.5522101099232</v>
      </c>
      <c r="K30" s="11">
        <f t="shared" si="6"/>
        <v>-976.89335787495293</v>
      </c>
      <c r="Q30" s="65">
        <v>26</v>
      </c>
      <c r="R30" s="66">
        <f>Inputs!H33</f>
        <v>6.5499999999999998E-4</v>
      </c>
    </row>
    <row r="31" spans="1:18" x14ac:dyDescent="0.25">
      <c r="A31">
        <f t="shared" si="2"/>
        <v>87</v>
      </c>
      <c r="B31">
        <v>27</v>
      </c>
      <c r="C31" s="12">
        <f t="shared" si="3"/>
        <v>7.6340000000000005E-2</v>
      </c>
      <c r="D31" s="10">
        <f t="shared" si="4"/>
        <v>0.92366000000000004</v>
      </c>
      <c r="E31" s="198">
        <f>IF(B31&lt;=$C$2,1,IF(B31=$C$2+1,PRODUCT($D$5:D31),E30*D31))</f>
        <v>0.50032950060010439</v>
      </c>
      <c r="F31" s="10">
        <f t="shared" si="0"/>
        <v>0.3468165701312535</v>
      </c>
      <c r="G31" s="10">
        <f t="shared" si="5"/>
        <v>0.17352256133361116</v>
      </c>
      <c r="I31" s="13">
        <f t="shared" si="1"/>
        <v>2501.6475030005222</v>
      </c>
      <c r="J31" s="11">
        <f>(SUM(G32:$G$79)*$I$1)</f>
        <v>4194.9394034418665</v>
      </c>
      <c r="K31" s="11">
        <f t="shared" si="6"/>
        <v>-867.61280666805669</v>
      </c>
      <c r="Q31" s="65">
        <v>27</v>
      </c>
      <c r="R31" s="66">
        <f>Inputs!H34</f>
        <v>6.8800000000000003E-4</v>
      </c>
    </row>
    <row r="32" spans="1:18" x14ac:dyDescent="0.25">
      <c r="A32">
        <f t="shared" si="2"/>
        <v>88</v>
      </c>
      <c r="B32">
        <v>28</v>
      </c>
      <c r="C32" s="12">
        <f t="shared" si="3"/>
        <v>8.6388000000000006E-2</v>
      </c>
      <c r="D32" s="10">
        <f t="shared" si="4"/>
        <v>0.91361199999999998</v>
      </c>
      <c r="E32" s="198">
        <f>IF(B32&lt;=$C$2,1,IF(B32=$C$2+1,PRODUCT($D$5:D32),E31*D32))</f>
        <v>0.45710703570226258</v>
      </c>
      <c r="F32" s="10">
        <f t="shared" si="0"/>
        <v>0.3334774712800514</v>
      </c>
      <c r="G32" s="10">
        <f t="shared" si="5"/>
        <v>0.15243489837031068</v>
      </c>
      <c r="I32" s="13">
        <f t="shared" si="1"/>
        <v>2285.535178511313</v>
      </c>
      <c r="J32" s="11">
        <f>(SUM(G33:$G$79)*$I$1)</f>
        <v>3432.7649115903132</v>
      </c>
      <c r="K32" s="11">
        <f t="shared" si="6"/>
        <v>-762.17449185155328</v>
      </c>
      <c r="Q32" s="65">
        <v>28</v>
      </c>
      <c r="R32" s="66">
        <f>Inputs!H35</f>
        <v>7.1000000000000002E-4</v>
      </c>
    </row>
    <row r="33" spans="1:18" x14ac:dyDescent="0.25">
      <c r="A33">
        <f t="shared" si="2"/>
        <v>89</v>
      </c>
      <c r="B33">
        <v>29</v>
      </c>
      <c r="C33" s="12">
        <f t="shared" si="3"/>
        <v>9.7633999999999999E-2</v>
      </c>
      <c r="D33" s="10">
        <f t="shared" si="4"/>
        <v>0.902366</v>
      </c>
      <c r="E33" s="198">
        <f>IF(B33&lt;=$C$2,1,IF(B33=$C$2+1,PRODUCT($D$5:D33),E32*D33))</f>
        <v>0.4124778473785079</v>
      </c>
      <c r="F33" s="10">
        <f t="shared" si="0"/>
        <v>0.32065141469235708</v>
      </c>
      <c r="G33" s="10">
        <f t="shared" si="5"/>
        <v>0.1322616052911767</v>
      </c>
      <c r="I33" s="13">
        <f t="shared" si="1"/>
        <v>2062.3892368925394</v>
      </c>
      <c r="J33" s="11">
        <f>(SUM(G34:$G$79)*$I$1)</f>
        <v>2771.4568851344302</v>
      </c>
      <c r="K33" s="11">
        <f t="shared" si="6"/>
        <v>-661.30802645588301</v>
      </c>
      <c r="Q33" s="65">
        <v>29</v>
      </c>
      <c r="R33" s="66">
        <f>Inputs!H36</f>
        <v>7.27E-4</v>
      </c>
    </row>
    <row r="34" spans="1:18" x14ac:dyDescent="0.25">
      <c r="A34">
        <f t="shared" si="2"/>
        <v>90</v>
      </c>
      <c r="B34">
        <v>30</v>
      </c>
      <c r="C34" s="12">
        <f t="shared" si="3"/>
        <v>0.10999299999999999</v>
      </c>
      <c r="D34" s="10">
        <f t="shared" si="4"/>
        <v>0.89000699999999999</v>
      </c>
      <c r="E34" s="198">
        <f>IF(B34&lt;=$C$2,1,IF(B34=$C$2+1,PRODUCT($D$5:D34),E33*D34))</f>
        <v>0.36710817151180369</v>
      </c>
      <c r="F34" s="10">
        <f t="shared" si="0"/>
        <v>0.30831866797342034</v>
      </c>
      <c r="G34" s="10">
        <f t="shared" si="5"/>
        <v>0.11318630244267724</v>
      </c>
      <c r="I34" s="13">
        <f t="shared" si="1"/>
        <v>1835.5408575590184</v>
      </c>
      <c r="J34" s="11">
        <f>(SUM(G35:$G$79)*$I$1)</f>
        <v>2205.525372921044</v>
      </c>
      <c r="K34" s="11">
        <f t="shared" si="6"/>
        <v>-565.93151221338621</v>
      </c>
      <c r="Q34" s="65">
        <v>30</v>
      </c>
      <c r="R34" s="66">
        <f>Inputs!H37</f>
        <v>7.4100000000000001E-4</v>
      </c>
    </row>
    <row r="35" spans="1:18" x14ac:dyDescent="0.25">
      <c r="A35">
        <f t="shared" si="2"/>
        <v>91</v>
      </c>
      <c r="B35">
        <v>31</v>
      </c>
      <c r="C35" s="12">
        <f t="shared" si="3"/>
        <v>0.12311900000000001</v>
      </c>
      <c r="D35" s="10">
        <f t="shared" si="4"/>
        <v>0.87688100000000002</v>
      </c>
      <c r="E35" s="198">
        <f>IF(B35&lt;=$C$2,1,IF(B35=$C$2+1,PRODUCT($D$5:D35),E34*D35))</f>
        <v>0.32191018054344195</v>
      </c>
      <c r="F35" s="10">
        <f t="shared" si="0"/>
        <v>0.29646025766675027</v>
      </c>
      <c r="G35" s="10">
        <f t="shared" si="5"/>
        <v>9.5433575069458904E-2</v>
      </c>
      <c r="I35" s="13">
        <f t="shared" si="1"/>
        <v>1609.5509027172097</v>
      </c>
      <c r="J35" s="11">
        <f>(SUM(G36:$G$79)*$I$1)</f>
        <v>1728.3574975737492</v>
      </c>
      <c r="K35" s="11">
        <f t="shared" si="6"/>
        <v>-477.16787534729474</v>
      </c>
      <c r="Q35" s="65">
        <v>31</v>
      </c>
      <c r="R35" s="66">
        <f>Inputs!H38</f>
        <v>7.5100000000000004E-4</v>
      </c>
    </row>
    <row r="36" spans="1:18" x14ac:dyDescent="0.25">
      <c r="A36">
        <f t="shared" si="2"/>
        <v>92</v>
      </c>
      <c r="B36">
        <v>32</v>
      </c>
      <c r="C36" s="12">
        <f t="shared" si="3"/>
        <v>0.13716800000000001</v>
      </c>
      <c r="D36" s="10">
        <f t="shared" si="4"/>
        <v>0.86283200000000004</v>
      </c>
      <c r="E36" s="198">
        <f>IF(B36&lt;=$C$2,1,IF(B36=$C$2+1,PRODUCT($D$5:D36),E35*D36))</f>
        <v>0.2777544048986591</v>
      </c>
      <c r="F36" s="10">
        <f t="shared" si="0"/>
        <v>0.28505794006418295</v>
      </c>
      <c r="G36" s="10">
        <f t="shared" si="5"/>
        <v>7.9176098504164766E-2</v>
      </c>
      <c r="I36" s="13">
        <f t="shared" si="1"/>
        <v>1388.7720244932955</v>
      </c>
      <c r="J36" s="11">
        <f>(SUM(G37:$G$79)*$I$1)</f>
        <v>1332.4770050529253</v>
      </c>
      <c r="K36" s="11">
        <f t="shared" si="6"/>
        <v>-395.88049252082396</v>
      </c>
      <c r="Q36" s="65">
        <v>32</v>
      </c>
      <c r="R36" s="66">
        <f>Inputs!H39</f>
        <v>7.54E-4</v>
      </c>
    </row>
    <row r="37" spans="1:18" x14ac:dyDescent="0.25">
      <c r="A37">
        <f t="shared" si="2"/>
        <v>93</v>
      </c>
      <c r="B37">
        <v>33</v>
      </c>
      <c r="C37" s="12">
        <f t="shared" si="3"/>
        <v>0.152171</v>
      </c>
      <c r="D37" s="10">
        <f t="shared" si="4"/>
        <v>0.84782899999999994</v>
      </c>
      <c r="E37" s="198">
        <f>IF(B37&lt;=$C$2,1,IF(B37=$C$2+1,PRODUCT($D$5:D37),E36*D37))</f>
        <v>0.23548823935082525</v>
      </c>
      <c r="F37" s="10">
        <f t="shared" si="0"/>
        <v>0.27409417313863743</v>
      </c>
      <c r="G37" s="10">
        <f t="shared" si="5"/>
        <v>6.4545954248737991E-2</v>
      </c>
      <c r="I37" s="13">
        <f t="shared" si="1"/>
        <v>1177.4411967541262</v>
      </c>
      <c r="J37" s="11">
        <f>(SUM(G38:$G$79)*$I$1)</f>
        <v>1009.7472338092356</v>
      </c>
      <c r="K37" s="11">
        <f t="shared" si="6"/>
        <v>-322.7297712436897</v>
      </c>
      <c r="Q37" s="65">
        <v>33</v>
      </c>
      <c r="R37" s="66">
        <f>Inputs!H40</f>
        <v>7.5600000000000005E-4</v>
      </c>
    </row>
    <row r="38" spans="1:18" x14ac:dyDescent="0.25">
      <c r="A38">
        <f t="shared" si="2"/>
        <v>94</v>
      </c>
      <c r="B38">
        <v>34</v>
      </c>
      <c r="C38" s="12">
        <f t="shared" si="3"/>
        <v>0.16819400000000001</v>
      </c>
      <c r="D38" s="10">
        <f t="shared" si="4"/>
        <v>0.83180600000000005</v>
      </c>
      <c r="E38" s="198">
        <f>IF(B38&lt;=$C$2,1,IF(B38=$C$2+1,PRODUCT($D$5:D38),E37*D38))</f>
        <v>0.19588053042145256</v>
      </c>
      <c r="F38" s="10">
        <f t="shared" si="0"/>
        <v>0.26355208955638215</v>
      </c>
      <c r="G38" s="10">
        <f t="shared" si="5"/>
        <v>5.1624723095986307E-2</v>
      </c>
      <c r="I38" s="13">
        <f t="shared" si="1"/>
        <v>979.40265210726284</v>
      </c>
      <c r="J38" s="11">
        <f>(SUM(G39:$G$79)*$I$1)</f>
        <v>751.62361832930401</v>
      </c>
      <c r="K38" s="11">
        <f t="shared" si="6"/>
        <v>-258.12361547993157</v>
      </c>
      <c r="Q38" s="65">
        <v>34</v>
      </c>
      <c r="R38" s="66">
        <f>Inputs!H41</f>
        <v>7.5600000000000005E-4</v>
      </c>
    </row>
    <row r="39" spans="1:18" x14ac:dyDescent="0.25">
      <c r="A39">
        <f t="shared" si="2"/>
        <v>95</v>
      </c>
      <c r="B39">
        <v>35</v>
      </c>
      <c r="C39" s="12">
        <f t="shared" si="3"/>
        <v>0.18526000000000001</v>
      </c>
      <c r="D39" s="10">
        <f t="shared" si="4"/>
        <v>0.81474000000000002</v>
      </c>
      <c r="E39" s="198">
        <f>IF(B39&lt;=$C$2,1,IF(B39=$C$2+1,PRODUCT($D$5:D39),E38*D39))</f>
        <v>0.15959170335557427</v>
      </c>
      <c r="F39" s="10">
        <f t="shared" si="0"/>
        <v>0.25341547072729048</v>
      </c>
      <c r="G39" s="10">
        <f t="shared" si="5"/>
        <v>4.0443006630022954E-2</v>
      </c>
      <c r="I39" s="13">
        <f t="shared" si="1"/>
        <v>797.9585167778713</v>
      </c>
      <c r="J39" s="11">
        <f>(SUM(G40:$G$79)*$I$1)</f>
        <v>549.40858517918912</v>
      </c>
      <c r="K39" s="11">
        <f t="shared" si="6"/>
        <v>-202.21503315011489</v>
      </c>
      <c r="Q39" s="65">
        <v>35</v>
      </c>
      <c r="R39" s="66">
        <f>Inputs!H42</f>
        <v>7.5600000000000005E-4</v>
      </c>
    </row>
    <row r="40" spans="1:18" x14ac:dyDescent="0.25">
      <c r="A40">
        <f t="shared" si="2"/>
        <v>96</v>
      </c>
      <c r="B40">
        <v>36</v>
      </c>
      <c r="C40" s="12">
        <f t="shared" si="3"/>
        <v>0.197322</v>
      </c>
      <c r="D40" s="10">
        <f t="shared" si="4"/>
        <v>0.802678</v>
      </c>
      <c r="E40" s="198">
        <f>IF(B40&lt;=$C$2,1,IF(B40=$C$2+1,PRODUCT($D$5:D40),E39*D40))</f>
        <v>0.12810074926604564</v>
      </c>
      <c r="F40" s="10">
        <f t="shared" si="0"/>
        <v>0.24366872185316396</v>
      </c>
      <c r="G40" s="10">
        <f t="shared" si="5"/>
        <v>3.1214145842089973E-2</v>
      </c>
      <c r="I40" s="13">
        <f t="shared" si="1"/>
        <v>640.50374633022818</v>
      </c>
      <c r="J40" s="11">
        <f>(SUM(G41:$G$79)*$I$1)</f>
        <v>393.33785596873929</v>
      </c>
      <c r="K40" s="11">
        <f t="shared" si="6"/>
        <v>-156.07072921044983</v>
      </c>
      <c r="Q40" s="65">
        <v>36</v>
      </c>
      <c r="R40" s="66">
        <f>Inputs!H43</f>
        <v>7.5600000000000005E-4</v>
      </c>
    </row>
    <row r="41" spans="1:18" x14ac:dyDescent="0.25">
      <c r="A41">
        <f t="shared" si="2"/>
        <v>97</v>
      </c>
      <c r="B41">
        <v>37</v>
      </c>
      <c r="C41" s="12">
        <f t="shared" si="3"/>
        <v>0.214751</v>
      </c>
      <c r="D41" s="10">
        <f t="shared" si="4"/>
        <v>0.78524899999999997</v>
      </c>
      <c r="E41" s="198">
        <f>IF(B41&lt;=$C$2,1,IF(B41=$C$2+1,PRODUCT($D$5:D41),E40*D41))</f>
        <v>0.10059098526041307</v>
      </c>
      <c r="F41" s="10">
        <f t="shared" si="0"/>
        <v>0.23429684793573452</v>
      </c>
      <c r="G41" s="10">
        <f t="shared" si="5"/>
        <v>2.3568150777264714E-2</v>
      </c>
      <c r="I41" s="13">
        <f t="shared" si="1"/>
        <v>502.95492630206536</v>
      </c>
      <c r="J41" s="11">
        <f>(SUM(G42:$G$79)*$I$1)</f>
        <v>275.49710208241572</v>
      </c>
      <c r="K41" s="11">
        <f t="shared" si="6"/>
        <v>-117.84075388632357</v>
      </c>
      <c r="Q41" s="65">
        <v>37</v>
      </c>
      <c r="R41" s="66">
        <f>Inputs!H44</f>
        <v>7.5600000000000005E-4</v>
      </c>
    </row>
    <row r="42" spans="1:18" x14ac:dyDescent="0.25">
      <c r="A42">
        <f t="shared" si="2"/>
        <v>98</v>
      </c>
      <c r="B42">
        <v>38</v>
      </c>
      <c r="C42" s="12">
        <f t="shared" si="3"/>
        <v>0.23250699999999999</v>
      </c>
      <c r="D42" s="10">
        <f t="shared" si="4"/>
        <v>0.76749299999999998</v>
      </c>
      <c r="E42" s="198">
        <f>IF(B42&lt;=$C$2,1,IF(B42=$C$2+1,PRODUCT($D$5:D42),E41*D42))</f>
        <v>7.7202877050470214E-2</v>
      </c>
      <c r="F42" s="10">
        <f t="shared" si="0"/>
        <v>0.22528543070743706</v>
      </c>
      <c r="G42" s="10">
        <f t="shared" si="5"/>
        <v>1.7392683408168491E-2</v>
      </c>
      <c r="I42" s="13">
        <f t="shared" si="1"/>
        <v>386.01438525235108</v>
      </c>
      <c r="J42" s="11">
        <f>(SUM(G43:$G$79)*$I$1)</f>
        <v>188.53368504157325</v>
      </c>
      <c r="K42" s="11">
        <f t="shared" si="6"/>
        <v>-86.963417040842472</v>
      </c>
      <c r="Q42" s="65">
        <v>38</v>
      </c>
      <c r="R42" s="66">
        <f>Inputs!H45</f>
        <v>7.5600000000000005E-4</v>
      </c>
    </row>
    <row r="43" spans="1:18" x14ac:dyDescent="0.25">
      <c r="A43">
        <f t="shared" si="2"/>
        <v>99</v>
      </c>
      <c r="B43">
        <v>39</v>
      </c>
      <c r="C43" s="12">
        <f t="shared" si="3"/>
        <v>0.25039699999999998</v>
      </c>
      <c r="D43" s="10">
        <f t="shared" si="4"/>
        <v>0.74960300000000002</v>
      </c>
      <c r="E43" s="198">
        <f>IF(B43&lt;=$C$2,1,IF(B43=$C$2+1,PRODUCT($D$5:D43),E42*D43))</f>
        <v>5.7871508245663623E-2</v>
      </c>
      <c r="F43" s="10">
        <f t="shared" si="0"/>
        <v>0.21662060644945874</v>
      </c>
      <c r="G43" s="10">
        <f t="shared" si="5"/>
        <v>1.2536161212320505E-2</v>
      </c>
      <c r="I43" s="13">
        <f t="shared" si="1"/>
        <v>289.3575412283181</v>
      </c>
      <c r="J43" s="11">
        <f>(SUM(G44:$G$79)*$I$1)</f>
        <v>125.85287897997078</v>
      </c>
      <c r="K43" s="11">
        <f t="shared" si="6"/>
        <v>-62.680806061602468</v>
      </c>
      <c r="Q43" s="65">
        <v>39</v>
      </c>
      <c r="R43" s="66">
        <f>Inputs!H46</f>
        <v>8.0000000000000004E-4</v>
      </c>
    </row>
    <row r="44" spans="1:18" x14ac:dyDescent="0.25">
      <c r="A44">
        <f t="shared" si="2"/>
        <v>100</v>
      </c>
      <c r="B44">
        <v>40</v>
      </c>
      <c r="C44" s="12">
        <f t="shared" si="3"/>
        <v>0.26860699999999998</v>
      </c>
      <c r="D44" s="10">
        <f t="shared" si="4"/>
        <v>0.73139299999999996</v>
      </c>
      <c r="E44" s="198">
        <f>IF(B44&lt;=$C$2,1,IF(B44=$C$2+1,PRODUCT($D$5:D44),E43*D44))</f>
        <v>4.2326816030320652E-2</v>
      </c>
      <c r="F44" s="10">
        <f t="shared" si="0"/>
        <v>0.20828904466294101</v>
      </c>
      <c r="G44" s="10">
        <f t="shared" si="5"/>
        <v>8.816212074579546E-3</v>
      </c>
      <c r="I44" s="13">
        <f t="shared" si="1"/>
        <v>211.63408015160326</v>
      </c>
      <c r="J44" s="11">
        <f>(SUM(G45:$G$79)*$I$1)</f>
        <v>81.77181860707303</v>
      </c>
      <c r="K44" s="11">
        <f t="shared" si="6"/>
        <v>-44.081060372897753</v>
      </c>
      <c r="Q44" s="65">
        <v>40</v>
      </c>
      <c r="R44" s="66">
        <f>Inputs!H47</f>
        <v>8.5899999999999995E-4</v>
      </c>
    </row>
    <row r="45" spans="1:18" x14ac:dyDescent="0.25">
      <c r="A45">
        <f t="shared" si="2"/>
        <v>101</v>
      </c>
      <c r="B45">
        <v>41</v>
      </c>
      <c r="C45" s="12">
        <f t="shared" si="3"/>
        <v>0.290016</v>
      </c>
      <c r="D45" s="10">
        <f t="shared" si="4"/>
        <v>0.70998399999999995</v>
      </c>
      <c r="E45" s="198">
        <f>IF(B45&lt;=$C$2,1,IF(B45=$C$2+1,PRODUCT($D$5:D45),E44*D45))</f>
        <v>3.0051362152471176E-2</v>
      </c>
      <c r="F45" s="10">
        <f t="shared" si="0"/>
        <v>0.20027792756052021</v>
      </c>
      <c r="G45" s="10">
        <f t="shared" si="5"/>
        <v>6.0186245322675809E-3</v>
      </c>
      <c r="I45" s="13">
        <f t="shared" si="1"/>
        <v>150.25681076235588</v>
      </c>
      <c r="J45" s="11">
        <f>(SUM(G46:$G$79)*$I$1)</f>
        <v>51.678695945735107</v>
      </c>
      <c r="K45" s="11">
        <f t="shared" si="6"/>
        <v>-30.093122661337922</v>
      </c>
      <c r="Q45" s="65">
        <v>41</v>
      </c>
      <c r="R45" s="66">
        <f>Inputs!H48</f>
        <v>9.2599999999999996E-4</v>
      </c>
    </row>
    <row r="46" spans="1:18" x14ac:dyDescent="0.25">
      <c r="A46">
        <f t="shared" si="2"/>
        <v>102</v>
      </c>
      <c r="B46">
        <v>42</v>
      </c>
      <c r="C46" s="12">
        <f t="shared" si="3"/>
        <v>0.31184899999999999</v>
      </c>
      <c r="D46" s="10">
        <f t="shared" si="4"/>
        <v>0.68815099999999996</v>
      </c>
      <c r="E46" s="198">
        <f>IF(B46&lt;=$C$2,1,IF(B46=$C$2+1,PRODUCT($D$5:D46),E45*D46))</f>
        <v>2.0679874916585191E-2</v>
      </c>
      <c r="F46" s="10">
        <f t="shared" si="0"/>
        <v>0.19257493034665407</v>
      </c>
      <c r="G46" s="10">
        <f t="shared" si="5"/>
        <v>3.9824254716389115E-3</v>
      </c>
      <c r="I46" s="13">
        <f t="shared" si="1"/>
        <v>103.39937458292596</v>
      </c>
      <c r="J46" s="11">
        <f>(SUM(G47:$G$79)*$I$1)</f>
        <v>31.766568587540558</v>
      </c>
      <c r="K46" s="11">
        <f t="shared" si="6"/>
        <v>-19.912127358194549</v>
      </c>
      <c r="Q46" s="65">
        <v>42</v>
      </c>
      <c r="R46" s="66">
        <f>Inputs!H49</f>
        <v>9.990000000000001E-4</v>
      </c>
    </row>
    <row r="47" spans="1:18" x14ac:dyDescent="0.25">
      <c r="A47">
        <f t="shared" si="2"/>
        <v>103</v>
      </c>
      <c r="B47">
        <v>43</v>
      </c>
      <c r="C47" s="12">
        <f t="shared" si="3"/>
        <v>0.33396199999999998</v>
      </c>
      <c r="D47" s="10">
        <f t="shared" si="4"/>
        <v>0.66603800000000002</v>
      </c>
      <c r="E47" s="198">
        <f>IF(B47&lt;=$C$2,1,IF(B47=$C$2+1,PRODUCT($D$5:D47),E46*D47))</f>
        <v>1.3773582529692567E-2</v>
      </c>
      <c r="F47" s="10">
        <f t="shared" si="0"/>
        <v>0.18516820225639813</v>
      </c>
      <c r="G47" s="10">
        <f t="shared" si="5"/>
        <v>2.5504295156533051E-3</v>
      </c>
      <c r="I47" s="13">
        <f t="shared" si="1"/>
        <v>68.867912648462834</v>
      </c>
      <c r="J47" s="11">
        <f>(SUM(G48:$G$79)*$I$1)</f>
        <v>19.014421009274031</v>
      </c>
      <c r="K47" s="11">
        <f t="shared" si="6"/>
        <v>-12.752147578266527</v>
      </c>
      <c r="Q47" s="65">
        <v>43</v>
      </c>
      <c r="R47" s="66">
        <f>Inputs!H50</f>
        <v>1.0690000000000001E-3</v>
      </c>
    </row>
    <row r="48" spans="1:18" x14ac:dyDescent="0.25">
      <c r="A48">
        <f t="shared" si="2"/>
        <v>104</v>
      </c>
      <c r="B48">
        <v>44</v>
      </c>
      <c r="C48" s="12">
        <f t="shared" si="3"/>
        <v>0.356207</v>
      </c>
      <c r="D48" s="10">
        <f t="shared" si="4"/>
        <v>0.64379300000000006</v>
      </c>
      <c r="E48" s="198">
        <f>IF(B48&lt;=$C$2,1,IF(B48=$C$2+1,PRODUCT($D$5:D48),E47*D48))</f>
        <v>8.8673360175383683E-3</v>
      </c>
      <c r="F48" s="10">
        <f t="shared" si="0"/>
        <v>0.17804634832345972</v>
      </c>
      <c r="G48" s="10">
        <f t="shared" si="5"/>
        <v>1.5787967972797966E-3</v>
      </c>
      <c r="I48" s="13">
        <f t="shared" si="1"/>
        <v>44.336680087691839</v>
      </c>
      <c r="J48" s="11">
        <f>(SUM(G49:$G$79)*$I$1)</f>
        <v>11.120437022875047</v>
      </c>
      <c r="K48" s="11">
        <f t="shared" si="6"/>
        <v>-7.8939839863989842</v>
      </c>
      <c r="Q48" s="65">
        <v>44</v>
      </c>
      <c r="R48" s="66">
        <f>Inputs!H51</f>
        <v>1.142E-3</v>
      </c>
    </row>
    <row r="49" spans="1:18" x14ac:dyDescent="0.25">
      <c r="A49">
        <f t="shared" si="2"/>
        <v>105</v>
      </c>
      <c r="B49">
        <v>45</v>
      </c>
      <c r="C49" s="12">
        <f t="shared" si="3"/>
        <v>0.38</v>
      </c>
      <c r="D49" s="10">
        <f t="shared" si="4"/>
        <v>0.62</v>
      </c>
      <c r="E49" s="198">
        <f>IF(B49&lt;=$C$2,1,IF(B49=$C$2+1,PRODUCT($D$5:D49),E48*D49))</f>
        <v>5.4977483308737887E-3</v>
      </c>
      <c r="F49" s="10">
        <f t="shared" si="0"/>
        <v>0.17119841184948048</v>
      </c>
      <c r="G49" s="10">
        <f t="shared" si="5"/>
        <v>9.4120578299372473E-4</v>
      </c>
      <c r="I49" s="13">
        <f t="shared" si="1"/>
        <v>27.488741654368944</v>
      </c>
      <c r="J49" s="11">
        <f>(SUM(G50:$G$79)*$I$1)</f>
        <v>6.414408107906425</v>
      </c>
      <c r="K49" s="11">
        <f t="shared" si="6"/>
        <v>-4.7060289149686216</v>
      </c>
      <c r="Q49" s="65">
        <v>45</v>
      </c>
      <c r="R49" s="66">
        <f>Inputs!H52</f>
        <v>1.219E-3</v>
      </c>
    </row>
    <row r="50" spans="1:18" x14ac:dyDescent="0.25">
      <c r="A50">
        <f t="shared" si="2"/>
        <v>106</v>
      </c>
      <c r="B50">
        <v>46</v>
      </c>
      <c r="C50" s="12">
        <f t="shared" si="3"/>
        <v>0.4</v>
      </c>
      <c r="D50" s="10">
        <f t="shared" si="4"/>
        <v>0.6</v>
      </c>
      <c r="E50" s="198">
        <f>IF(B50&lt;=$C$2,1,IF(B50=$C$2+1,PRODUCT($D$5:D50),E49*D50))</f>
        <v>3.2986489985242732E-3</v>
      </c>
      <c r="F50" s="10">
        <f t="shared" si="0"/>
        <v>0.1646138575475774</v>
      </c>
      <c r="G50" s="10">
        <f t="shared" si="5"/>
        <v>5.430033363425336E-4</v>
      </c>
      <c r="I50" s="13">
        <f t="shared" si="1"/>
        <v>16.493244992621367</v>
      </c>
      <c r="J50" s="11">
        <f>(SUM(G51:$G$79)*$I$1)</f>
        <v>3.6993914261937553</v>
      </c>
      <c r="K50" s="11">
        <f t="shared" si="6"/>
        <v>-2.7150166817126697</v>
      </c>
      <c r="Q50" s="65">
        <v>46</v>
      </c>
      <c r="R50" s="66">
        <f>Inputs!H53</f>
        <v>1.3179999999999999E-3</v>
      </c>
    </row>
    <row r="51" spans="1:18" x14ac:dyDescent="0.25">
      <c r="A51">
        <f t="shared" si="2"/>
        <v>107</v>
      </c>
      <c r="B51">
        <v>47</v>
      </c>
      <c r="C51" s="12">
        <f t="shared" si="3"/>
        <v>0.4</v>
      </c>
      <c r="D51" s="10">
        <f t="shared" si="4"/>
        <v>0.6</v>
      </c>
      <c r="E51" s="198">
        <f>IF(B51&lt;=$C$2,1,IF(B51=$C$2+1,PRODUCT($D$5:D51),E50*D51))</f>
        <v>1.979189399114564E-3</v>
      </c>
      <c r="F51" s="10">
        <f t="shared" si="0"/>
        <v>0.15828255533420904</v>
      </c>
      <c r="G51" s="10">
        <f t="shared" si="5"/>
        <v>3.1327115558223091E-4</v>
      </c>
      <c r="I51" s="13">
        <f t="shared" si="1"/>
        <v>9.8959469955728192</v>
      </c>
      <c r="J51" s="11">
        <f>(SUM(G52:$G$79)*$I$1)</f>
        <v>2.1330356482826005</v>
      </c>
      <c r="K51" s="11">
        <f t="shared" si="6"/>
        <v>-1.5663557779111548</v>
      </c>
      <c r="Q51" s="65">
        <v>47</v>
      </c>
      <c r="R51" s="66">
        <f>Inputs!H54</f>
        <v>1.454E-3</v>
      </c>
    </row>
    <row r="52" spans="1:18" x14ac:dyDescent="0.25">
      <c r="A52">
        <f t="shared" si="2"/>
        <v>108</v>
      </c>
      <c r="B52">
        <v>48</v>
      </c>
      <c r="C52" s="12">
        <f t="shared" si="3"/>
        <v>0.4</v>
      </c>
      <c r="D52" s="10">
        <f t="shared" si="4"/>
        <v>0.6</v>
      </c>
      <c r="E52" s="198">
        <f>IF(B52&lt;=$C$2,1,IF(B52=$C$2+1,PRODUCT($D$5:D52),E51*D52))</f>
        <v>1.1875136394687384E-3</v>
      </c>
      <c r="F52" s="10">
        <f t="shared" si="0"/>
        <v>0.15219476474443175</v>
      </c>
      <c r="G52" s="10">
        <f t="shared" si="5"/>
        <v>1.8073335898974858E-4</v>
      </c>
      <c r="I52" s="13">
        <f t="shared" si="1"/>
        <v>5.9375681973436922</v>
      </c>
      <c r="J52" s="11">
        <f>(SUM(G53:$G$79)*$I$1)</f>
        <v>1.2293688533338578</v>
      </c>
      <c r="K52" s="11">
        <f t="shared" si="6"/>
        <v>-0.90366679494874269</v>
      </c>
      <c r="Q52" s="65">
        <v>48</v>
      </c>
      <c r="R52" s="66">
        <f>Inputs!H55</f>
        <v>1.627E-3</v>
      </c>
    </row>
    <row r="53" spans="1:18" x14ac:dyDescent="0.25">
      <c r="A53">
        <f t="shared" si="2"/>
        <v>109</v>
      </c>
      <c r="B53">
        <v>49</v>
      </c>
      <c r="C53" s="12">
        <f t="shared" si="3"/>
        <v>0.4</v>
      </c>
      <c r="D53" s="10">
        <f t="shared" si="4"/>
        <v>0.6</v>
      </c>
      <c r="E53" s="198">
        <f>IF(B53&lt;=$C$2,1,IF(B53=$C$2+1,PRODUCT($D$5:D53),E52*D53))</f>
        <v>7.12508183681243E-4</v>
      </c>
      <c r="F53" s="10">
        <f t="shared" si="0"/>
        <v>0.14634111994656898</v>
      </c>
      <c r="G53" s="10">
        <f t="shared" si="5"/>
        <v>1.0426924557100879E-4</v>
      </c>
      <c r="I53" s="13">
        <f t="shared" si="1"/>
        <v>3.5625409184062149</v>
      </c>
      <c r="J53" s="11">
        <f>(SUM(G54:$G$79)*$I$1)</f>
        <v>0.70802262547881401</v>
      </c>
      <c r="K53" s="11">
        <f t="shared" si="6"/>
        <v>-0.52134622785504381</v>
      </c>
      <c r="Q53" s="65">
        <v>49</v>
      </c>
      <c r="R53" s="66">
        <f>Inputs!H56</f>
        <v>1.8289999999999999E-3</v>
      </c>
    </row>
    <row r="54" spans="1:18" x14ac:dyDescent="0.25">
      <c r="A54">
        <f t="shared" si="2"/>
        <v>110</v>
      </c>
      <c r="B54">
        <v>50</v>
      </c>
      <c r="C54" s="12">
        <f t="shared" si="3"/>
        <v>0.4</v>
      </c>
      <c r="D54" s="10">
        <f t="shared" si="4"/>
        <v>0.6</v>
      </c>
      <c r="E54" s="198">
        <f>IF(B54&lt;=$C$2,1,IF(B54=$C$2+1,PRODUCT($D$5:D54),E53*D54))</f>
        <v>4.2750491020874577E-4</v>
      </c>
      <c r="F54" s="10">
        <f t="shared" si="0"/>
        <v>0.14071261533323939</v>
      </c>
      <c r="G54" s="10">
        <f t="shared" si="5"/>
        <v>6.0155333983274287E-5</v>
      </c>
      <c r="I54" s="13">
        <f t="shared" si="1"/>
        <v>2.1375245510437288</v>
      </c>
      <c r="J54" s="11">
        <f>(SUM(G55:$G$79)*$I$1)</f>
        <v>0.40724595556244253</v>
      </c>
      <c r="K54" s="11">
        <f t="shared" si="6"/>
        <v>-0.30077666991637148</v>
      </c>
      <c r="Q54" s="65">
        <v>50</v>
      </c>
      <c r="R54" s="66">
        <f>Inputs!H57</f>
        <v>2.0569999999999998E-3</v>
      </c>
    </row>
    <row r="55" spans="1:18" x14ac:dyDescent="0.25">
      <c r="A55">
        <f t="shared" si="2"/>
        <v>111</v>
      </c>
      <c r="B55">
        <v>51</v>
      </c>
      <c r="C55" s="12">
        <f t="shared" si="3"/>
        <v>0.4</v>
      </c>
      <c r="D55" s="10">
        <f t="shared" si="4"/>
        <v>0.6</v>
      </c>
      <c r="E55" s="198">
        <f>IF(B55&lt;=$C$2,1,IF(B55=$C$2+1,PRODUCT($D$5:D55),E54*D55))</f>
        <v>2.5650294612524746E-4</v>
      </c>
      <c r="F55" s="10">
        <f t="shared" si="0"/>
        <v>0.13530059166657632</v>
      </c>
      <c r="G55" s="10">
        <f t="shared" si="5"/>
        <v>3.4705000374965928E-5</v>
      </c>
      <c r="I55" s="13">
        <f t="shared" si="1"/>
        <v>1.2825147306262372</v>
      </c>
      <c r="J55" s="11">
        <f>(SUM(G56:$G$79)*$I$1)</f>
        <v>0.23372095368761292</v>
      </c>
      <c r="K55" s="11">
        <f t="shared" si="6"/>
        <v>-0.17352500187482961</v>
      </c>
      <c r="Q55" s="65">
        <v>51</v>
      </c>
      <c r="R55" s="66">
        <f>Inputs!H58</f>
        <v>2.3019999999999998E-3</v>
      </c>
    </row>
    <row r="56" spans="1:18" x14ac:dyDescent="0.25">
      <c r="A56">
        <f t="shared" si="2"/>
        <v>112</v>
      </c>
      <c r="B56">
        <v>52</v>
      </c>
      <c r="C56" s="12">
        <f t="shared" si="3"/>
        <v>0.4</v>
      </c>
      <c r="D56" s="10">
        <f t="shared" si="4"/>
        <v>0.6</v>
      </c>
      <c r="E56" s="198">
        <f>IF(B56&lt;=$C$2,1,IF(B56=$C$2+1,PRODUCT($D$5:D56),E55*D56))</f>
        <v>1.5390176767514848E-4</v>
      </c>
      <c r="F56" s="10">
        <f t="shared" si="0"/>
        <v>0.13009672275632339</v>
      </c>
      <c r="G56" s="10">
        <f t="shared" si="5"/>
        <v>2.0022115600941884E-5</v>
      </c>
      <c r="I56" s="13">
        <f t="shared" si="1"/>
        <v>0.76950883837574247</v>
      </c>
      <c r="J56" s="11">
        <f>(SUM(G57:$G$79)*$I$1)</f>
        <v>0.13361037568290351</v>
      </c>
      <c r="K56" s="11">
        <f t="shared" si="6"/>
        <v>-0.10011057800470941</v>
      </c>
      <c r="Q56" s="65">
        <v>52</v>
      </c>
      <c r="R56" s="66">
        <f>Inputs!H59</f>
        <v>2.545E-3</v>
      </c>
    </row>
    <row r="57" spans="1:18" x14ac:dyDescent="0.25">
      <c r="A57">
        <f t="shared" si="2"/>
        <v>113</v>
      </c>
      <c r="B57">
        <v>53</v>
      </c>
      <c r="C57" s="12">
        <f t="shared" si="3"/>
        <v>0.4</v>
      </c>
      <c r="D57" s="10">
        <f t="shared" si="4"/>
        <v>0.6</v>
      </c>
      <c r="E57" s="198">
        <f>IF(B57&lt;=$C$2,1,IF(B57=$C$2+1,PRODUCT($D$5:D57),E56*D57))</f>
        <v>9.2341060605089092E-5</v>
      </c>
      <c r="F57" s="10">
        <f t="shared" si="0"/>
        <v>0.12509300265031092</v>
      </c>
      <c r="G57" s="10">
        <f t="shared" si="5"/>
        <v>1.1551220539004932E-5</v>
      </c>
      <c r="I57" s="13">
        <f t="shared" si="1"/>
        <v>0.46170530302544543</v>
      </c>
      <c r="J57" s="11">
        <f>(SUM(G58:$G$79)*$I$1)</f>
        <v>7.5854272987878849E-2</v>
      </c>
      <c r="K57" s="11">
        <f t="shared" si="6"/>
        <v>-5.7756102695024666E-2</v>
      </c>
      <c r="Q57" s="65">
        <v>53</v>
      </c>
      <c r="R57" s="66">
        <f>Inputs!H60</f>
        <v>2.7789999999999998E-3</v>
      </c>
    </row>
    <row r="58" spans="1:18" x14ac:dyDescent="0.25">
      <c r="A58">
        <f t="shared" si="2"/>
        <v>114</v>
      </c>
      <c r="B58">
        <v>54</v>
      </c>
      <c r="C58" s="12">
        <f t="shared" si="3"/>
        <v>0.4</v>
      </c>
      <c r="D58" s="10">
        <f t="shared" si="4"/>
        <v>0.6</v>
      </c>
      <c r="E58" s="198">
        <f>IF(B58&lt;=$C$2,1,IF(B58=$C$2+1,PRODUCT($D$5:D58),E57*D58))</f>
        <v>5.5404636363053452E-5</v>
      </c>
      <c r="F58" s="10">
        <f t="shared" si="0"/>
        <v>0.12028173331760666</v>
      </c>
      <c r="G58" s="10">
        <f t="shared" si="5"/>
        <v>6.6641656955797681E-6</v>
      </c>
      <c r="I58" s="13">
        <f t="shared" si="1"/>
        <v>0.27702318181526725</v>
      </c>
      <c r="J58" s="11">
        <f>(SUM(G59:$G$79)*$I$1)</f>
        <v>4.2533444509980013E-2</v>
      </c>
      <c r="K58" s="11">
        <f t="shared" si="6"/>
        <v>-3.3320828477898835E-2</v>
      </c>
      <c r="Q58" s="65">
        <v>54</v>
      </c>
      <c r="R58" s="66">
        <f>Inputs!H61</f>
        <v>3.0109999999999998E-3</v>
      </c>
    </row>
    <row r="59" spans="1:18" x14ac:dyDescent="0.25">
      <c r="A59">
        <f t="shared" si="2"/>
        <v>115</v>
      </c>
      <c r="B59">
        <v>55</v>
      </c>
      <c r="C59" s="12">
        <f t="shared" si="3"/>
        <v>0.4</v>
      </c>
      <c r="D59" s="10">
        <f t="shared" si="4"/>
        <v>0.6</v>
      </c>
      <c r="E59" s="198">
        <f>IF(B59&lt;=$C$2,1,IF(B59=$C$2+1,PRODUCT($D$5:D59),E58*D59))</f>
        <v>3.324278181783207E-5</v>
      </c>
      <c r="F59" s="10">
        <f t="shared" si="0"/>
        <v>0.11565551280539103</v>
      </c>
      <c r="G59" s="10">
        <f t="shared" si="5"/>
        <v>3.8447109782190974E-6</v>
      </c>
      <c r="I59" s="13">
        <f t="shared" si="1"/>
        <v>0.16621390908916034</v>
      </c>
      <c r="J59" s="11">
        <f>(SUM(G60:$G$79)*$I$1)</f>
        <v>2.3309889618884524E-2</v>
      </c>
      <c r="K59" s="11">
        <f t="shared" si="6"/>
        <v>-1.9223554891095489E-2</v>
      </c>
      <c r="Q59" s="65">
        <v>55</v>
      </c>
      <c r="R59" s="66">
        <f>Inputs!H62</f>
        <v>3.2539999999999999E-3</v>
      </c>
    </row>
    <row r="60" spans="1:18" x14ac:dyDescent="0.25">
      <c r="A60">
        <f t="shared" si="2"/>
        <v>116</v>
      </c>
      <c r="B60">
        <v>56</v>
      </c>
      <c r="C60" s="12">
        <f t="shared" si="3"/>
        <v>0.4</v>
      </c>
      <c r="D60" s="10">
        <f t="shared" si="4"/>
        <v>0.6</v>
      </c>
      <c r="E60" s="198">
        <f>IF(B60&lt;=$C$2,1,IF(B60=$C$2+1,PRODUCT($D$5:D60),E59*D60))</f>
        <v>1.9945669090699241E-5</v>
      </c>
      <c r="F60" s="10">
        <f t="shared" si="0"/>
        <v>0.11120722385133754</v>
      </c>
      <c r="G60" s="10">
        <f t="shared" si="5"/>
        <v>2.2181024874340944E-6</v>
      </c>
      <c r="I60" s="13">
        <f t="shared" si="1"/>
        <v>9.9728345453496209E-2</v>
      </c>
      <c r="J60" s="11">
        <f>(SUM(G61:$G$79)*$I$1)</f>
        <v>1.2219377181714048E-2</v>
      </c>
      <c r="K60" s="11">
        <f t="shared" si="6"/>
        <v>-1.1090512437170475E-2</v>
      </c>
      <c r="Q60" s="65">
        <v>56</v>
      </c>
      <c r="R60" s="66">
        <f>Inputs!H63</f>
        <v>3.529E-3</v>
      </c>
    </row>
    <row r="61" spans="1:18" x14ac:dyDescent="0.25">
      <c r="A61">
        <f t="shared" ref="A61:A64" si="7">B61+$A$4</f>
        <v>117</v>
      </c>
      <c r="B61">
        <v>57</v>
      </c>
      <c r="C61" s="12">
        <f t="shared" ref="C61:C64" si="8">VLOOKUP(A61,$Q$4:$R$124,2,FALSE)</f>
        <v>0.4</v>
      </c>
      <c r="D61" s="10">
        <f t="shared" ref="D61:D64" si="9">1-C61</f>
        <v>0.6</v>
      </c>
      <c r="E61" s="198">
        <f>IF(B61&lt;=$C$2,1,IF(B61=$C$2+1,PRODUCT($D$5:D61),E60*D61))</f>
        <v>1.1967401454419543E-5</v>
      </c>
      <c r="F61" s="10">
        <f t="shared" ref="F61:F64" si="10">IF(D61=0,0,(1+$F$2)^-B61)</f>
        <v>0.10693002293397837</v>
      </c>
      <c r="G61" s="10">
        <f t="shared" ref="G61:G64" si="11">F61*E61</f>
        <v>1.2796745119812078E-6</v>
      </c>
      <c r="I61" s="13">
        <f t="shared" ref="I61:I64" si="12">E61*$I$1</f>
        <v>5.9837007272097717E-2</v>
      </c>
      <c r="J61" s="11">
        <f>(SUM(G62:$G$79)*$I$1)</f>
        <v>5.8210046218080099E-3</v>
      </c>
      <c r="K61" s="11">
        <f t="shared" ref="K61:K64" si="13">J61-J60</f>
        <v>-6.3983725599060385E-3</v>
      </c>
      <c r="Q61" s="65">
        <v>57</v>
      </c>
      <c r="R61" s="66">
        <f>Inputs!H64</f>
        <v>3.8449999999999999E-3</v>
      </c>
    </row>
    <row r="62" spans="1:18" x14ac:dyDescent="0.25">
      <c r="A62">
        <f t="shared" si="7"/>
        <v>118</v>
      </c>
      <c r="B62">
        <v>58</v>
      </c>
      <c r="C62" s="12">
        <f t="shared" si="8"/>
        <v>0.4</v>
      </c>
      <c r="D62" s="10">
        <f t="shared" si="9"/>
        <v>0.6</v>
      </c>
      <c r="E62" s="198">
        <f>IF(B62&lt;=$C$2,1,IF(B62=$C$2+1,PRODUCT($D$5:D62),E61*D62))</f>
        <v>7.1804408726517257E-6</v>
      </c>
      <c r="F62" s="10">
        <f t="shared" si="10"/>
        <v>0.10281732974420998</v>
      </c>
      <c r="G62" s="10">
        <f t="shared" si="11"/>
        <v>7.382737569122354E-7</v>
      </c>
      <c r="I62" s="13">
        <f t="shared" si="12"/>
        <v>3.5902204363258632E-2</v>
      </c>
      <c r="J62" s="11">
        <f>(SUM(G63:$G$79)*$I$1)</f>
        <v>2.1296358372468326E-3</v>
      </c>
      <c r="K62" s="11">
        <f t="shared" si="13"/>
        <v>-3.6913687845611773E-3</v>
      </c>
      <c r="Q62" s="65">
        <v>58</v>
      </c>
      <c r="R62" s="66">
        <f>Inputs!H65</f>
        <v>4.2129999999999997E-3</v>
      </c>
    </row>
    <row r="63" spans="1:18" x14ac:dyDescent="0.25">
      <c r="A63">
        <f t="shared" si="7"/>
        <v>119</v>
      </c>
      <c r="B63">
        <v>59</v>
      </c>
      <c r="C63" s="12">
        <f t="shared" si="8"/>
        <v>0.4</v>
      </c>
      <c r="D63" s="10">
        <f t="shared" si="9"/>
        <v>0.6</v>
      </c>
      <c r="E63" s="198">
        <f>IF(B63&lt;=$C$2,1,IF(B63=$C$2+1,PRODUCT($D$5:D63),E62*D63))</f>
        <v>4.3082645235910351E-6</v>
      </c>
      <c r="F63" s="10">
        <f t="shared" si="10"/>
        <v>9.8862817061740368E-2</v>
      </c>
      <c r="G63" s="10">
        <f t="shared" si="11"/>
        <v>4.2592716744936654E-7</v>
      </c>
      <c r="I63" s="13">
        <f t="shared" si="12"/>
        <v>2.1541322617955175E-2</v>
      </c>
      <c r="J63" s="11">
        <f>(SUM(G64:$G$79)*$I$1)</f>
        <v>0</v>
      </c>
      <c r="K63" s="11">
        <f t="shared" si="13"/>
        <v>-2.1296358372468326E-3</v>
      </c>
      <c r="Q63" s="65">
        <v>59</v>
      </c>
      <c r="R63" s="66">
        <f>Inputs!H66</f>
        <v>4.6309999999999997E-3</v>
      </c>
    </row>
    <row r="64" spans="1:18" x14ac:dyDescent="0.25">
      <c r="A64">
        <f t="shared" si="7"/>
        <v>120</v>
      </c>
      <c r="B64">
        <v>60</v>
      </c>
      <c r="C64" s="12">
        <f t="shared" si="8"/>
        <v>1</v>
      </c>
      <c r="D64" s="10">
        <f t="shared" si="9"/>
        <v>0</v>
      </c>
      <c r="E64" s="198">
        <f>IF(B64&lt;=$C$2,1,IF(B64=$C$2+1,PRODUCT($D$5:D64),E63*D64))</f>
        <v>0</v>
      </c>
      <c r="F64" s="10">
        <f t="shared" si="10"/>
        <v>0</v>
      </c>
      <c r="G64" s="10">
        <f t="shared" si="11"/>
        <v>0</v>
      </c>
      <c r="I64" s="13">
        <f t="shared" si="12"/>
        <v>0</v>
      </c>
      <c r="J64" s="11">
        <f>(SUM(G65:$G$79)*$I$1)</f>
        <v>0</v>
      </c>
      <c r="K64" s="11">
        <f t="shared" si="13"/>
        <v>0</v>
      </c>
      <c r="Q64" s="65">
        <v>60</v>
      </c>
      <c r="R64" s="66">
        <f>Inputs!H67</f>
        <v>5.0959999999999998E-3</v>
      </c>
    </row>
    <row r="65" spans="3:18" x14ac:dyDescent="0.25">
      <c r="C65" s="12"/>
      <c r="D65" s="10"/>
      <c r="E65" s="198"/>
      <c r="F65" s="10"/>
      <c r="G65" s="10"/>
      <c r="I65" s="13"/>
      <c r="J65" s="11"/>
      <c r="K65" s="11"/>
      <c r="Q65" s="65">
        <v>61</v>
      </c>
      <c r="R65" s="66">
        <f>Inputs!H68</f>
        <v>5.6140000000000001E-3</v>
      </c>
    </row>
    <row r="66" spans="3:18" x14ac:dyDescent="0.25">
      <c r="C66" s="12"/>
      <c r="D66" s="10"/>
      <c r="E66" s="198"/>
      <c r="F66" s="10"/>
      <c r="G66" s="10"/>
      <c r="I66" s="13"/>
      <c r="J66" s="11"/>
      <c r="K66" s="11"/>
      <c r="Q66" s="65">
        <v>62</v>
      </c>
      <c r="R66" s="66">
        <f>Inputs!H69</f>
        <v>6.169E-3</v>
      </c>
    </row>
    <row r="67" spans="3:18" x14ac:dyDescent="0.25">
      <c r="C67" s="12"/>
      <c r="D67" s="10"/>
      <c r="E67" s="198"/>
      <c r="F67" s="10"/>
      <c r="G67" s="10"/>
      <c r="I67" s="13"/>
      <c r="J67" s="11"/>
      <c r="K67" s="11"/>
      <c r="Q67" s="65">
        <v>63</v>
      </c>
      <c r="R67" s="66">
        <f>Inputs!H70</f>
        <v>6.7590000000000003E-3</v>
      </c>
    </row>
    <row r="68" spans="3:18" x14ac:dyDescent="0.25">
      <c r="C68" s="12"/>
      <c r="D68" s="10"/>
      <c r="E68" s="198"/>
      <c r="F68" s="10"/>
      <c r="G68" s="10"/>
      <c r="I68" s="13"/>
      <c r="J68" s="11"/>
      <c r="K68" s="11"/>
      <c r="Q68" s="65">
        <v>64</v>
      </c>
      <c r="R68" s="66">
        <f>Inputs!H71</f>
        <v>7.3980000000000001E-3</v>
      </c>
    </row>
    <row r="69" spans="3:18" x14ac:dyDescent="0.25">
      <c r="C69" s="12"/>
      <c r="D69" s="10"/>
      <c r="E69" s="198"/>
      <c r="F69" s="10"/>
      <c r="G69" s="10"/>
      <c r="I69" s="13"/>
      <c r="J69" s="11"/>
      <c r="K69" s="11"/>
      <c r="Q69" s="65">
        <v>65</v>
      </c>
      <c r="R69" s="66">
        <f>Inputs!H72</f>
        <v>8.1060000000000004E-3</v>
      </c>
    </row>
    <row r="70" spans="3:18" x14ac:dyDescent="0.25">
      <c r="C70" s="12"/>
      <c r="D70" s="10"/>
      <c r="E70" s="198"/>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D126" s="35"/>
      <c r="E126" s="35"/>
    </row>
    <row r="127" spans="3:18" x14ac:dyDescent="0.25">
      <c r="D127" s="35"/>
      <c r="E127" s="35"/>
    </row>
    <row r="128" spans="3:18" x14ac:dyDescent="0.25">
      <c r="D128" s="35"/>
      <c r="E128" s="35"/>
    </row>
    <row r="129" spans="3:5" x14ac:dyDescent="0.25">
      <c r="D129" s="35"/>
      <c r="E129" s="35"/>
    </row>
    <row r="130" spans="3:5" x14ac:dyDescent="0.25">
      <c r="D130" s="35"/>
      <c r="E130" s="35"/>
    </row>
    <row r="131" spans="3:5" x14ac:dyDescent="0.25">
      <c r="D131" s="35"/>
      <c r="E131" s="35"/>
    </row>
    <row r="132" spans="3:5" x14ac:dyDescent="0.25">
      <c r="D132" s="35"/>
      <c r="E132" s="35"/>
    </row>
    <row r="134" spans="3:5" x14ac:dyDescent="0.25">
      <c r="C134" s="25"/>
    </row>
    <row r="135" spans="3:5" x14ac:dyDescent="0.25">
      <c r="C135" s="25"/>
    </row>
    <row r="136" spans="3:5" x14ac:dyDescent="0.25">
      <c r="C136" s="25"/>
    </row>
    <row r="137" spans="3:5" x14ac:dyDescent="0.25">
      <c r="C137" s="25"/>
    </row>
    <row r="138" spans="3:5" x14ac:dyDescent="0.25">
      <c r="C138" s="25"/>
    </row>
    <row r="139" spans="3:5" x14ac:dyDescent="0.25">
      <c r="C139" s="25"/>
    </row>
    <row r="140" spans="3:5" x14ac:dyDescent="0.25">
      <c r="C140" s="25"/>
    </row>
    <row r="141" spans="3:5" x14ac:dyDescent="0.25">
      <c r="C141" s="25"/>
    </row>
    <row r="142" spans="3:5" x14ac:dyDescent="0.25">
      <c r="C142" s="25"/>
    </row>
    <row r="143" spans="3:5" x14ac:dyDescent="0.25">
      <c r="C143" s="25"/>
    </row>
    <row r="144" spans="3:5"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70">
    <cfRule type="cellIs" dxfId="30"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4"/>
  <sheetViews>
    <sheetView topLeftCell="A103" workbookViewId="0">
      <selection activeCell="C126" sqref="C126:E133"/>
    </sheetView>
  </sheetViews>
  <sheetFormatPr defaultRowHeight="15" x14ac:dyDescent="0.25"/>
  <cols>
    <col min="1" max="1" width="4.375" bestFit="1" customWidth="1"/>
    <col min="3" max="7" width="10" bestFit="1" customWidth="1"/>
    <col min="8" max="8" width="3.75" customWidth="1"/>
    <col min="9" max="10" width="13.25" customWidth="1"/>
    <col min="12" max="12" width="12" customWidth="1"/>
    <col min="13" max="13" width="11.625" bestFit="1" customWidth="1"/>
    <col min="14" max="14" width="11.625" customWidth="1"/>
    <col min="15" max="15" width="7.125" bestFit="1" customWidth="1"/>
    <col min="16" max="16" width="4.75" customWidth="1"/>
  </cols>
  <sheetData>
    <row r="1" spans="1:18" x14ac:dyDescent="0.25">
      <c r="B1" t="s">
        <v>139</v>
      </c>
      <c r="I1" s="3">
        <v>5000</v>
      </c>
      <c r="J1" s="181" t="s">
        <v>173</v>
      </c>
      <c r="L1" s="1"/>
      <c r="M1" s="4"/>
      <c r="N1" s="4"/>
      <c r="O1" s="4"/>
      <c r="P1" s="4"/>
      <c r="Q1" s="64"/>
      <c r="R1" s="28"/>
    </row>
    <row r="2" spans="1:18" ht="15.75" customHeight="1" thickBot="1" x14ac:dyDescent="0.3">
      <c r="B2" t="s">
        <v>227</v>
      </c>
      <c r="C2">
        <v>15</v>
      </c>
      <c r="F2" s="5">
        <f>'Asset and Liability Durations'!N12</f>
        <v>0.04</v>
      </c>
      <c r="J2" s="166" t="s">
        <v>174</v>
      </c>
      <c r="L2" s="6"/>
      <c r="M2" s="4"/>
      <c r="N2" s="4"/>
      <c r="O2" s="4"/>
      <c r="P2" s="4"/>
      <c r="Q2" s="172" t="s">
        <v>160</v>
      </c>
      <c r="R2" s="28"/>
    </row>
    <row r="3" spans="1:18" ht="45" x14ac:dyDescent="0.25">
      <c r="A3" s="7" t="s">
        <v>19</v>
      </c>
      <c r="B3" s="7" t="s">
        <v>7</v>
      </c>
      <c r="C3" s="8" t="s">
        <v>20</v>
      </c>
      <c r="D3" s="7" t="s">
        <v>21</v>
      </c>
      <c r="E3" s="7" t="s">
        <v>22</v>
      </c>
      <c r="F3" s="7" t="s">
        <v>11</v>
      </c>
      <c r="G3" s="7" t="s">
        <v>12</v>
      </c>
      <c r="I3" s="7" t="s">
        <v>13</v>
      </c>
      <c r="J3" s="7" t="s">
        <v>14</v>
      </c>
      <c r="L3" s="7" t="s">
        <v>15</v>
      </c>
      <c r="M3" s="30">
        <f>+SUMPRODUCT(B5:B64,I5:I64,F5:F64)/SUMPRODUCT(F5:F64,I5:I64)</f>
        <v>11.681455777588065</v>
      </c>
      <c r="N3" s="10"/>
      <c r="O3" s="10"/>
      <c r="P3" s="10"/>
      <c r="Q3" s="31"/>
      <c r="R3" s="32"/>
    </row>
    <row r="4" spans="1:18" x14ac:dyDescent="0.25">
      <c r="A4">
        <v>60</v>
      </c>
      <c r="B4">
        <v>0</v>
      </c>
      <c r="C4" s="8"/>
      <c r="D4" s="7"/>
      <c r="E4" s="7"/>
      <c r="F4" s="7"/>
      <c r="G4" s="10">
        <v>1</v>
      </c>
      <c r="J4" s="11">
        <f>(SUM(G5:$G$79)*$I$1)</f>
        <v>78054.347358843501</v>
      </c>
      <c r="Q4" s="65">
        <v>0</v>
      </c>
      <c r="R4" s="66">
        <f>Inputs!H7</f>
        <v>1.6050000000000001E-3</v>
      </c>
    </row>
    <row r="5" spans="1:18" ht="15.75" thickBot="1" x14ac:dyDescent="0.3">
      <c r="A5">
        <f>B5+$A$4</f>
        <v>61</v>
      </c>
      <c r="B5">
        <v>1</v>
      </c>
      <c r="C5" s="12">
        <f>VLOOKUP(A5,$Q$4:$R$124,2,FALSE)</f>
        <v>5.6140000000000001E-3</v>
      </c>
      <c r="D5" s="10">
        <f>1-C5</f>
        <v>0.99438599999999999</v>
      </c>
      <c r="E5" s="198">
        <f>IF(B5&lt;=$C$2,1,IF(B5=$C$2+1,PRODUCT($D$5:D5),E4*D5))</f>
        <v>1</v>
      </c>
      <c r="F5" s="10">
        <f t="shared" ref="F5:F64" si="0">IF(D5=0,0,(1+$F$2)^-B5)</f>
        <v>0.96153846153846145</v>
      </c>
      <c r="G5" s="10">
        <f>F5*E5</f>
        <v>0.96153846153846145</v>
      </c>
      <c r="I5" s="13">
        <f t="shared" ref="I5:I64" si="1">E5*$I$1</f>
        <v>5000</v>
      </c>
      <c r="J5" s="11">
        <f>(SUM(G6:$G$79)*$I$1)</f>
        <v>73246.655051151189</v>
      </c>
      <c r="K5" s="11">
        <f>J5-J4</f>
        <v>-4807.6923076923122</v>
      </c>
      <c r="L5" s="14" t="s">
        <v>16</v>
      </c>
      <c r="M5" s="14" t="s">
        <v>17</v>
      </c>
      <c r="N5" s="14" t="s">
        <v>18</v>
      </c>
      <c r="O5" s="14" t="s">
        <v>47</v>
      </c>
      <c r="Q5" s="65">
        <v>1</v>
      </c>
      <c r="R5" s="66">
        <f>Inputs!H8</f>
        <v>4.0099999999999999E-4</v>
      </c>
    </row>
    <row r="6" spans="1:18" x14ac:dyDescent="0.25">
      <c r="A6">
        <f t="shared" ref="A6:A64" si="2">B6+$A$4</f>
        <v>62</v>
      </c>
      <c r="B6">
        <v>2</v>
      </c>
      <c r="C6" s="12">
        <f t="shared" ref="C6:C64" si="3">VLOOKUP(A6,$Q$4:$R$124,2,FALSE)</f>
        <v>6.169E-3</v>
      </c>
      <c r="D6" s="10">
        <f t="shared" ref="D6:D64" si="4">1-C6</f>
        <v>0.99383100000000002</v>
      </c>
      <c r="E6" s="198">
        <f>IF(B6&lt;=$C$2,1,IF(B6=$C$2+1,PRODUCT($D$5:D6),E5*D6))</f>
        <v>1</v>
      </c>
      <c r="F6" s="10">
        <f t="shared" si="0"/>
        <v>0.92455621301775137</v>
      </c>
      <c r="G6" s="10">
        <f t="shared" ref="G6:G64" si="5">F6*E6</f>
        <v>0.92455621301775137</v>
      </c>
      <c r="I6" s="13">
        <f t="shared" si="1"/>
        <v>5000</v>
      </c>
      <c r="J6" s="11">
        <f>(SUM(G7:$G$79)*$I$1)</f>
        <v>68623.873986062434</v>
      </c>
      <c r="K6" s="11">
        <f t="shared" ref="K6:K64" si="6">J6-J5</f>
        <v>-4622.781065088755</v>
      </c>
      <c r="L6" s="14">
        <v>2</v>
      </c>
      <c r="M6" s="54" t="s">
        <v>44</v>
      </c>
      <c r="N6" s="15">
        <f>SUM(I5:I7)</f>
        <v>15000</v>
      </c>
      <c r="O6" s="16">
        <f>N6/SUM($N$6:$N$9)</f>
        <v>0.11465375360007213</v>
      </c>
      <c r="Q6" s="65">
        <v>2</v>
      </c>
      <c r="R6" s="66">
        <f>Inputs!H9</f>
        <v>2.7500000000000002E-4</v>
      </c>
    </row>
    <row r="7" spans="1:18" x14ac:dyDescent="0.25">
      <c r="A7">
        <f t="shared" si="2"/>
        <v>63</v>
      </c>
      <c r="B7">
        <v>3</v>
      </c>
      <c r="C7" s="12">
        <f t="shared" si="3"/>
        <v>6.7590000000000003E-3</v>
      </c>
      <c r="D7" s="10">
        <f t="shared" si="4"/>
        <v>0.99324100000000004</v>
      </c>
      <c r="E7" s="198">
        <f>IF(B7&lt;=$C$2,1,IF(B7=$C$2+1,PRODUCT($D$5:D7),E6*D7))</f>
        <v>1</v>
      </c>
      <c r="F7" s="10">
        <f t="shared" si="0"/>
        <v>0.88899635867091487</v>
      </c>
      <c r="G7" s="10">
        <f t="shared" si="5"/>
        <v>0.88899635867091487</v>
      </c>
      <c r="I7" s="13">
        <f t="shared" si="1"/>
        <v>5000</v>
      </c>
      <c r="J7" s="11">
        <f>(SUM(G8:$G$79)*$I$1)</f>
        <v>64178.892192707855</v>
      </c>
      <c r="K7" s="11">
        <f t="shared" si="6"/>
        <v>-4444.9817933545783</v>
      </c>
      <c r="L7" s="14">
        <v>5</v>
      </c>
      <c r="M7" s="19" t="s">
        <v>45</v>
      </c>
      <c r="N7" s="17">
        <f>SUM(I8:I11)</f>
        <v>20000</v>
      </c>
      <c r="O7" s="18">
        <f>N7/SUM($N$6:$N$9)</f>
        <v>0.15287167146676284</v>
      </c>
      <c r="Q7" s="65">
        <v>3</v>
      </c>
      <c r="R7" s="66">
        <f>Inputs!H10</f>
        <v>2.2900000000000001E-4</v>
      </c>
    </row>
    <row r="8" spans="1:18" x14ac:dyDescent="0.25">
      <c r="A8">
        <f t="shared" si="2"/>
        <v>64</v>
      </c>
      <c r="B8">
        <v>4</v>
      </c>
      <c r="C8" s="12">
        <f t="shared" si="3"/>
        <v>7.3980000000000001E-3</v>
      </c>
      <c r="D8" s="10">
        <f t="shared" si="4"/>
        <v>0.99260199999999998</v>
      </c>
      <c r="E8" s="198">
        <f>IF(B8&lt;=$C$2,1,IF(B8=$C$2+1,PRODUCT($D$5:D8),E7*D8))</f>
        <v>1</v>
      </c>
      <c r="F8" s="10">
        <f t="shared" si="0"/>
        <v>0.85480419102972571</v>
      </c>
      <c r="G8" s="10">
        <f t="shared" si="5"/>
        <v>0.85480419102972571</v>
      </c>
      <c r="I8" s="13">
        <f t="shared" si="1"/>
        <v>5000</v>
      </c>
      <c r="J8" s="11">
        <f>(SUM(G9:$G$79)*$I$1)</f>
        <v>59904.871237559229</v>
      </c>
      <c r="K8" s="11">
        <f t="shared" si="6"/>
        <v>-4274.0209551486259</v>
      </c>
      <c r="L8" s="14">
        <v>10</v>
      </c>
      <c r="M8" s="19" t="s">
        <v>46</v>
      </c>
      <c r="N8" s="17">
        <f>SUM(I12:I19)</f>
        <v>40000</v>
      </c>
      <c r="O8" s="18">
        <f>N8/SUM($N$6:$N$9)</f>
        <v>0.30574334293352567</v>
      </c>
      <c r="Q8" s="65">
        <v>4</v>
      </c>
      <c r="R8" s="66">
        <f>Inputs!H11</f>
        <v>1.74E-4</v>
      </c>
    </row>
    <row r="9" spans="1:18" ht="15.75" thickBot="1" x14ac:dyDescent="0.3">
      <c r="A9">
        <f t="shared" si="2"/>
        <v>65</v>
      </c>
      <c r="B9">
        <v>5</v>
      </c>
      <c r="C9" s="12">
        <f t="shared" si="3"/>
        <v>8.1060000000000004E-3</v>
      </c>
      <c r="D9" s="10">
        <f t="shared" si="4"/>
        <v>0.99189400000000005</v>
      </c>
      <c r="E9" s="198">
        <f>IF(B9&lt;=$C$2,1,IF(B9=$C$2+1,PRODUCT($D$5:D9),E8*D9))</f>
        <v>1</v>
      </c>
      <c r="F9" s="10">
        <f t="shared" si="0"/>
        <v>0.82192710675935154</v>
      </c>
      <c r="G9" s="10">
        <f t="shared" si="5"/>
        <v>0.82192710675935154</v>
      </c>
      <c r="I9" s="13">
        <f t="shared" si="1"/>
        <v>5000</v>
      </c>
      <c r="J9" s="11">
        <f>(SUM(G10:$G$79)*$I$1)</f>
        <v>55795.235703762475</v>
      </c>
      <c r="K9" s="11">
        <f t="shared" si="6"/>
        <v>-4109.6355337967543</v>
      </c>
      <c r="L9" s="14">
        <v>30</v>
      </c>
      <c r="M9" s="20" t="s">
        <v>48</v>
      </c>
      <c r="N9" s="21">
        <f>SUM(I20:I70)</f>
        <v>55828.686623920206</v>
      </c>
      <c r="O9" s="22">
        <f>N9/SUM($N$6:$N$9)</f>
        <v>0.42673123199963936</v>
      </c>
      <c r="Q9" s="65">
        <v>5</v>
      </c>
      <c r="R9" s="66">
        <f>Inputs!H12</f>
        <v>1.6799999999999999E-4</v>
      </c>
    </row>
    <row r="10" spans="1:18" x14ac:dyDescent="0.25">
      <c r="A10">
        <f t="shared" si="2"/>
        <v>66</v>
      </c>
      <c r="B10">
        <v>6</v>
      </c>
      <c r="C10" s="12">
        <f t="shared" si="3"/>
        <v>8.548E-3</v>
      </c>
      <c r="D10" s="10">
        <f t="shared" si="4"/>
        <v>0.991452</v>
      </c>
      <c r="E10" s="198">
        <f>IF(B10&lt;=$C$2,1,IF(B10=$C$2+1,PRODUCT($D$5:D10),E9*D10))</f>
        <v>1</v>
      </c>
      <c r="F10" s="10">
        <f t="shared" si="0"/>
        <v>0.79031452573014571</v>
      </c>
      <c r="G10" s="10">
        <f t="shared" si="5"/>
        <v>0.79031452573014571</v>
      </c>
      <c r="I10" s="13">
        <f t="shared" si="1"/>
        <v>5000</v>
      </c>
      <c r="J10" s="11">
        <f>(SUM(G11:$G$79)*$I$1)</f>
        <v>51843.663075111734</v>
      </c>
      <c r="K10" s="11">
        <f t="shared" si="6"/>
        <v>-3951.5726286507415</v>
      </c>
      <c r="L10" s="53">
        <f>+SUMPRODUCT(L6:L9,O6:O9)</f>
        <v>16.853036253858395</v>
      </c>
      <c r="O10" s="23">
        <f>SUM(O6:O9)</f>
        <v>1</v>
      </c>
      <c r="Q10" s="65">
        <v>6</v>
      </c>
      <c r="R10" s="66">
        <f>Inputs!H13</f>
        <v>1.65E-4</v>
      </c>
    </row>
    <row r="11" spans="1:18" x14ac:dyDescent="0.25">
      <c r="A11">
        <f t="shared" si="2"/>
        <v>67</v>
      </c>
      <c r="B11">
        <v>7</v>
      </c>
      <c r="C11" s="12">
        <f t="shared" si="3"/>
        <v>9.0760000000000007E-3</v>
      </c>
      <c r="D11" s="10">
        <f t="shared" si="4"/>
        <v>0.99092400000000003</v>
      </c>
      <c r="E11" s="198">
        <f>IF(B11&lt;=$C$2,1,IF(B11=$C$2+1,PRODUCT($D$5:D11),E10*D11))</f>
        <v>1</v>
      </c>
      <c r="F11" s="10">
        <f t="shared" si="0"/>
        <v>0.75991781320206331</v>
      </c>
      <c r="G11" s="10">
        <f t="shared" si="5"/>
        <v>0.75991781320206331</v>
      </c>
      <c r="I11" s="13">
        <f t="shared" si="1"/>
        <v>5000</v>
      </c>
      <c r="J11" s="11">
        <f>(SUM(G12:$G$79)*$I$1)</f>
        <v>48044.074009101416</v>
      </c>
      <c r="K11" s="11">
        <f t="shared" si="6"/>
        <v>-3799.5890660103178</v>
      </c>
      <c r="Q11" s="65">
        <v>7</v>
      </c>
      <c r="R11" s="66">
        <f>Inputs!H14</f>
        <v>1.5899999999999999E-4</v>
      </c>
    </row>
    <row r="12" spans="1:18" x14ac:dyDescent="0.25">
      <c r="A12">
        <f t="shared" si="2"/>
        <v>68</v>
      </c>
      <c r="B12">
        <v>8</v>
      </c>
      <c r="C12" s="12">
        <f t="shared" si="3"/>
        <v>9.7079999999999996E-3</v>
      </c>
      <c r="D12" s="10">
        <f t="shared" si="4"/>
        <v>0.99029199999999995</v>
      </c>
      <c r="E12" s="198">
        <f>IF(B12&lt;=$C$2,1,IF(B12=$C$2+1,PRODUCT($D$5:D12),E11*D12))</f>
        <v>1</v>
      </c>
      <c r="F12" s="10">
        <f t="shared" si="0"/>
        <v>0.73069020500198378</v>
      </c>
      <c r="G12" s="10">
        <f t="shared" si="5"/>
        <v>0.73069020500198378</v>
      </c>
      <c r="I12" s="13">
        <f t="shared" si="1"/>
        <v>5000</v>
      </c>
      <c r="J12" s="11">
        <f>(SUM(G13:$G$79)*$I$1)</f>
        <v>44390.622984091504</v>
      </c>
      <c r="K12" s="11">
        <f t="shared" si="6"/>
        <v>-3653.451025009912</v>
      </c>
      <c r="Q12" s="65">
        <v>8</v>
      </c>
      <c r="R12" s="66">
        <f>Inputs!H15</f>
        <v>1.4300000000000001E-4</v>
      </c>
    </row>
    <row r="13" spans="1:18" x14ac:dyDescent="0.25">
      <c r="A13">
        <f t="shared" si="2"/>
        <v>69</v>
      </c>
      <c r="B13">
        <v>9</v>
      </c>
      <c r="C13" s="12">
        <f t="shared" si="3"/>
        <v>1.0463E-2</v>
      </c>
      <c r="D13" s="10">
        <f t="shared" si="4"/>
        <v>0.989537</v>
      </c>
      <c r="E13" s="198">
        <f>IF(B13&lt;=$C$2,1,IF(B13=$C$2+1,PRODUCT($D$5:D13),E12*D13))</f>
        <v>1</v>
      </c>
      <c r="F13" s="10">
        <f t="shared" si="0"/>
        <v>0.70258673557883045</v>
      </c>
      <c r="G13" s="10">
        <f t="shared" si="5"/>
        <v>0.70258673557883045</v>
      </c>
      <c r="I13" s="13">
        <f t="shared" si="1"/>
        <v>5000</v>
      </c>
      <c r="J13" s="11">
        <f>(SUM(G14:$G$79)*$I$1)</f>
        <v>40877.689306197339</v>
      </c>
      <c r="K13" s="11">
        <f t="shared" si="6"/>
        <v>-3512.9336778941652</v>
      </c>
      <c r="Q13" s="65">
        <v>9</v>
      </c>
      <c r="R13" s="66">
        <f>Inputs!H16</f>
        <v>1.2899999999999999E-4</v>
      </c>
    </row>
    <row r="14" spans="1:18" x14ac:dyDescent="0.25">
      <c r="A14">
        <f t="shared" si="2"/>
        <v>70</v>
      </c>
      <c r="B14">
        <v>10</v>
      </c>
      <c r="C14" s="12">
        <f t="shared" si="3"/>
        <v>1.1357000000000001E-2</v>
      </c>
      <c r="D14" s="10">
        <f t="shared" si="4"/>
        <v>0.98864300000000005</v>
      </c>
      <c r="E14" s="198">
        <f>IF(B14&lt;=$C$2,1,IF(B14=$C$2+1,PRODUCT($D$5:D14),E13*D14))</f>
        <v>1</v>
      </c>
      <c r="F14" s="10">
        <f t="shared" si="0"/>
        <v>0.67556416882579851</v>
      </c>
      <c r="G14" s="10">
        <f t="shared" si="5"/>
        <v>0.67556416882579851</v>
      </c>
      <c r="I14" s="13">
        <f t="shared" si="1"/>
        <v>5000</v>
      </c>
      <c r="J14" s="11">
        <f>(SUM(G15:$G$79)*$I$1)</f>
        <v>37499.868462068349</v>
      </c>
      <c r="K14" s="11">
        <f t="shared" si="6"/>
        <v>-3377.8208441289898</v>
      </c>
      <c r="Q14" s="65">
        <v>10</v>
      </c>
      <c r="R14" s="66">
        <f>Inputs!H17</f>
        <v>1.13E-4</v>
      </c>
    </row>
    <row r="15" spans="1:18" x14ac:dyDescent="0.25">
      <c r="A15">
        <f t="shared" si="2"/>
        <v>71</v>
      </c>
      <c r="B15">
        <v>11</v>
      </c>
      <c r="C15" s="12">
        <f t="shared" si="3"/>
        <v>1.2418E-2</v>
      </c>
      <c r="D15" s="10">
        <f t="shared" si="4"/>
        <v>0.98758199999999996</v>
      </c>
      <c r="E15" s="198">
        <f>IF(B15&lt;=$C$2,1,IF(B15=$C$2+1,PRODUCT($D$5:D15),E14*D15))</f>
        <v>1</v>
      </c>
      <c r="F15" s="10">
        <f t="shared" si="0"/>
        <v>0.6495809315632679</v>
      </c>
      <c r="G15" s="10">
        <f t="shared" si="5"/>
        <v>0.6495809315632679</v>
      </c>
      <c r="I15" s="13">
        <f t="shared" si="1"/>
        <v>5000</v>
      </c>
      <c r="J15" s="11">
        <f>(SUM(G16:$G$79)*$I$1)</f>
        <v>34251.963804252009</v>
      </c>
      <c r="K15" s="11">
        <f t="shared" si="6"/>
        <v>-3247.9046578163397</v>
      </c>
      <c r="Q15" s="65">
        <v>11</v>
      </c>
      <c r="R15" s="66">
        <f>Inputs!H18</f>
        <v>1.11E-4</v>
      </c>
    </row>
    <row r="16" spans="1:18" x14ac:dyDescent="0.25">
      <c r="A16">
        <f t="shared" si="2"/>
        <v>72</v>
      </c>
      <c r="B16">
        <v>12</v>
      </c>
      <c r="C16" s="12">
        <f t="shared" si="3"/>
        <v>1.3675E-2</v>
      </c>
      <c r="D16" s="10">
        <f t="shared" si="4"/>
        <v>0.98632500000000001</v>
      </c>
      <c r="E16" s="198">
        <f>IF(B16&lt;=$C$2,1,IF(B16=$C$2+1,PRODUCT($D$5:D16),E15*D16))</f>
        <v>1</v>
      </c>
      <c r="F16" s="10">
        <f t="shared" si="0"/>
        <v>0.62459704958006512</v>
      </c>
      <c r="G16" s="10">
        <f t="shared" si="5"/>
        <v>0.62459704958006512</v>
      </c>
      <c r="I16" s="13">
        <f t="shared" si="1"/>
        <v>5000</v>
      </c>
      <c r="J16" s="11">
        <f>(SUM(G17:$G$79)*$I$1)</f>
        <v>31128.978556351689</v>
      </c>
      <c r="K16" s="11">
        <f t="shared" si="6"/>
        <v>-3122.9852479003202</v>
      </c>
      <c r="Q16" s="65">
        <v>12</v>
      </c>
      <c r="R16" s="66">
        <f>Inputs!H19</f>
        <v>1.3200000000000001E-4</v>
      </c>
    </row>
    <row r="17" spans="1:18" x14ac:dyDescent="0.25">
      <c r="A17">
        <f t="shared" si="2"/>
        <v>73</v>
      </c>
      <c r="B17">
        <v>13</v>
      </c>
      <c r="C17" s="12">
        <f t="shared" si="3"/>
        <v>1.515E-2</v>
      </c>
      <c r="D17" s="10">
        <f t="shared" si="4"/>
        <v>0.98485</v>
      </c>
      <c r="E17" s="198">
        <f>IF(B17&lt;=$C$2,1,IF(B17=$C$2+1,PRODUCT($D$5:D17),E16*D17))</f>
        <v>1</v>
      </c>
      <c r="F17" s="10">
        <f t="shared" si="0"/>
        <v>0.600574086134678</v>
      </c>
      <c r="G17" s="10">
        <f t="shared" si="5"/>
        <v>0.600574086134678</v>
      </c>
      <c r="I17" s="13">
        <f t="shared" si="1"/>
        <v>5000</v>
      </c>
      <c r="J17" s="11">
        <f>(SUM(G18:$G$79)*$I$1)</f>
        <v>28126.108125678296</v>
      </c>
      <c r="K17" s="11">
        <f t="shared" si="6"/>
        <v>-3002.8704306733925</v>
      </c>
      <c r="Q17" s="65">
        <v>13</v>
      </c>
      <c r="R17" s="66">
        <f>Inputs!H20</f>
        <v>1.6899999999999999E-4</v>
      </c>
    </row>
    <row r="18" spans="1:18" x14ac:dyDescent="0.25">
      <c r="A18">
        <f t="shared" si="2"/>
        <v>74</v>
      </c>
      <c r="B18">
        <v>14</v>
      </c>
      <c r="C18" s="12">
        <f t="shared" si="3"/>
        <v>1.686E-2</v>
      </c>
      <c r="D18" s="10">
        <f t="shared" si="4"/>
        <v>0.98314000000000001</v>
      </c>
      <c r="E18" s="198">
        <f>IF(B18&lt;=$C$2,1,IF(B18=$C$2+1,PRODUCT($D$5:D18),E17*D18))</f>
        <v>1</v>
      </c>
      <c r="F18" s="10">
        <f t="shared" si="0"/>
        <v>0.57747508282180582</v>
      </c>
      <c r="G18" s="10">
        <f t="shared" si="5"/>
        <v>0.57747508282180582</v>
      </c>
      <c r="I18" s="13">
        <f t="shared" si="1"/>
        <v>5000</v>
      </c>
      <c r="J18" s="11">
        <f>(SUM(G19:$G$79)*$I$1)</f>
        <v>25238.732711569271</v>
      </c>
      <c r="K18" s="11">
        <f t="shared" si="6"/>
        <v>-2887.3754141090249</v>
      </c>
      <c r="Q18" s="65">
        <v>14</v>
      </c>
      <c r="R18" s="66">
        <f>Inputs!H21</f>
        <v>2.13E-4</v>
      </c>
    </row>
    <row r="19" spans="1:18" x14ac:dyDescent="0.25">
      <c r="A19">
        <f t="shared" si="2"/>
        <v>75</v>
      </c>
      <c r="B19">
        <v>15</v>
      </c>
      <c r="C19" s="12">
        <f t="shared" si="3"/>
        <v>1.8814999999999998E-2</v>
      </c>
      <c r="D19" s="10">
        <f t="shared" si="4"/>
        <v>0.98118499999999997</v>
      </c>
      <c r="E19" s="198">
        <f>IF(B19&lt;=$C$2,1,IF(B19=$C$2+1,PRODUCT($D$5:D19),E18*D19))</f>
        <v>1</v>
      </c>
      <c r="F19" s="10">
        <f t="shared" si="0"/>
        <v>0.55526450271327477</v>
      </c>
      <c r="G19" s="10">
        <f t="shared" si="5"/>
        <v>0.55526450271327477</v>
      </c>
      <c r="I19" s="13">
        <f t="shared" si="1"/>
        <v>5000</v>
      </c>
      <c r="J19" s="11">
        <f>(SUM(G20:$G$79)*$I$1)</f>
        <v>22462.410198002897</v>
      </c>
      <c r="K19" s="11">
        <f t="shared" si="6"/>
        <v>-2776.3225135663743</v>
      </c>
      <c r="Q19" s="65">
        <v>15</v>
      </c>
      <c r="R19" s="66">
        <f>Inputs!H22</f>
        <v>2.5399999999999999E-4</v>
      </c>
    </row>
    <row r="20" spans="1:18" x14ac:dyDescent="0.25">
      <c r="A20">
        <f t="shared" si="2"/>
        <v>76</v>
      </c>
      <c r="B20">
        <v>16</v>
      </c>
      <c r="C20" s="12">
        <f t="shared" si="3"/>
        <v>2.1031000000000001E-2</v>
      </c>
      <c r="D20" s="10">
        <f t="shared" si="4"/>
        <v>0.97896899999999998</v>
      </c>
      <c r="E20" s="198">
        <f>IF(B20&lt;=$C$2,1,IF(B20=$C$2+1,PRODUCT($D$5:D20),E19*D20))</f>
        <v>0.83331257330769348</v>
      </c>
      <c r="F20" s="10">
        <f t="shared" si="0"/>
        <v>0.53390817568584104</v>
      </c>
      <c r="G20" s="10">
        <f t="shared" si="5"/>
        <v>0.44491239579078429</v>
      </c>
      <c r="I20" s="13">
        <f t="shared" si="1"/>
        <v>4166.5628665384675</v>
      </c>
      <c r="J20" s="11">
        <f>(SUM(G21:$G$79)*$I$1)</f>
        <v>20237.848219048985</v>
      </c>
      <c r="K20" s="11">
        <f t="shared" si="6"/>
        <v>-2224.5619789539123</v>
      </c>
      <c r="Q20" s="65">
        <v>16</v>
      </c>
      <c r="R20" s="66">
        <f>Inputs!H23</f>
        <v>2.9300000000000002E-4</v>
      </c>
    </row>
    <row r="21" spans="1:18" x14ac:dyDescent="0.25">
      <c r="A21">
        <f t="shared" si="2"/>
        <v>77</v>
      </c>
      <c r="B21">
        <v>17</v>
      </c>
      <c r="C21" s="12">
        <f t="shared" si="3"/>
        <v>2.3539999999999998E-2</v>
      </c>
      <c r="D21" s="10">
        <f t="shared" si="4"/>
        <v>0.97645999999999999</v>
      </c>
      <c r="E21" s="198">
        <f>IF(B21&lt;=$C$2,1,IF(B21=$C$2+1,PRODUCT($D$5:D21),E20*D21))</f>
        <v>0.81369639533203042</v>
      </c>
      <c r="F21" s="10">
        <f t="shared" si="0"/>
        <v>0.51337324585177024</v>
      </c>
      <c r="G21" s="10">
        <f t="shared" si="5"/>
        <v>0.41772995960948966</v>
      </c>
      <c r="I21" s="13">
        <f t="shared" si="1"/>
        <v>4068.4819766601522</v>
      </c>
      <c r="J21" s="11">
        <f>(SUM(G22:$G$79)*$I$1)</f>
        <v>18149.198421001536</v>
      </c>
      <c r="K21" s="11">
        <f t="shared" si="6"/>
        <v>-2088.6497980474487</v>
      </c>
      <c r="Q21" s="65">
        <v>17</v>
      </c>
      <c r="R21" s="66">
        <f>Inputs!H24</f>
        <v>3.28E-4</v>
      </c>
    </row>
    <row r="22" spans="1:18" x14ac:dyDescent="0.25">
      <c r="A22">
        <f t="shared" si="2"/>
        <v>78</v>
      </c>
      <c r="B22">
        <v>18</v>
      </c>
      <c r="C22" s="12">
        <f t="shared" si="3"/>
        <v>2.6374999999999999E-2</v>
      </c>
      <c r="D22" s="10">
        <f t="shared" si="4"/>
        <v>0.97362499999999996</v>
      </c>
      <c r="E22" s="198">
        <f>IF(B22&lt;=$C$2,1,IF(B22=$C$2+1,PRODUCT($D$5:D22),E21*D22))</f>
        <v>0.79223515290514812</v>
      </c>
      <c r="F22" s="10">
        <f t="shared" si="0"/>
        <v>0.49362812101131748</v>
      </c>
      <c r="G22" s="10">
        <f t="shared" si="5"/>
        <v>0.39106954992768206</v>
      </c>
      <c r="I22" s="13">
        <f t="shared" si="1"/>
        <v>3961.1757645257408</v>
      </c>
      <c r="J22" s="11">
        <f>(SUM(G23:$G$79)*$I$1)</f>
        <v>16193.850671363123</v>
      </c>
      <c r="K22" s="11">
        <f t="shared" si="6"/>
        <v>-1955.347749638413</v>
      </c>
      <c r="Q22" s="65">
        <v>18</v>
      </c>
      <c r="R22" s="66">
        <f>Inputs!H25</f>
        <v>3.59E-4</v>
      </c>
    </row>
    <row r="23" spans="1:18" x14ac:dyDescent="0.25">
      <c r="A23">
        <f t="shared" si="2"/>
        <v>79</v>
      </c>
      <c r="B23">
        <v>19</v>
      </c>
      <c r="C23" s="12">
        <f t="shared" si="3"/>
        <v>2.9572000000000001E-2</v>
      </c>
      <c r="D23" s="10">
        <f t="shared" si="4"/>
        <v>0.97042799999999996</v>
      </c>
      <c r="E23" s="198">
        <f>IF(B23&lt;=$C$2,1,IF(B23=$C$2+1,PRODUCT($D$5:D23),E22*D23))</f>
        <v>0.76880717496343709</v>
      </c>
      <c r="F23" s="10">
        <f t="shared" si="0"/>
        <v>0.47464242404934376</v>
      </c>
      <c r="G23" s="10">
        <f t="shared" si="5"/>
        <v>0.36490850115117374</v>
      </c>
      <c r="I23" s="13">
        <f t="shared" si="1"/>
        <v>3844.0358748171852</v>
      </c>
      <c r="J23" s="11">
        <f>(SUM(G24:$G$79)*$I$1)</f>
        <v>14369.308165607255</v>
      </c>
      <c r="K23" s="11">
        <f t="shared" si="6"/>
        <v>-1824.5425057558678</v>
      </c>
      <c r="Q23" s="65">
        <v>19</v>
      </c>
      <c r="R23" s="66">
        <f>Inputs!H26</f>
        <v>3.8699999999999997E-4</v>
      </c>
    </row>
    <row r="24" spans="1:18" x14ac:dyDescent="0.25">
      <c r="A24">
        <f t="shared" si="2"/>
        <v>80</v>
      </c>
      <c r="B24">
        <v>20</v>
      </c>
      <c r="C24" s="12">
        <f t="shared" si="3"/>
        <v>3.3234E-2</v>
      </c>
      <c r="D24" s="10">
        <f t="shared" si="4"/>
        <v>0.96676600000000001</v>
      </c>
      <c r="E24" s="198">
        <f>IF(B24&lt;=$C$2,1,IF(B24=$C$2+1,PRODUCT($D$5:D24),E23*D24))</f>
        <v>0.74325663731070224</v>
      </c>
      <c r="F24" s="10">
        <f t="shared" si="0"/>
        <v>0.45638694620129205</v>
      </c>
      <c r="G24" s="10">
        <f t="shared" si="5"/>
        <v>0.33921262694607268</v>
      </c>
      <c r="I24" s="13">
        <f t="shared" si="1"/>
        <v>3716.2831865535113</v>
      </c>
      <c r="J24" s="11">
        <f>(SUM(G25:$G$79)*$I$1)</f>
        <v>12673.245030876891</v>
      </c>
      <c r="K24" s="11">
        <f t="shared" si="6"/>
        <v>-1696.0631347303643</v>
      </c>
      <c r="Q24" s="65">
        <v>20</v>
      </c>
      <c r="R24" s="66">
        <f>Inputs!H27</f>
        <v>4.1399999999999998E-4</v>
      </c>
    </row>
    <row r="25" spans="1:18" x14ac:dyDescent="0.25">
      <c r="A25">
        <f t="shared" si="2"/>
        <v>81</v>
      </c>
      <c r="B25">
        <v>21</v>
      </c>
      <c r="C25" s="12">
        <f t="shared" si="3"/>
        <v>3.7532999999999997E-2</v>
      </c>
      <c r="D25" s="10">
        <f t="shared" si="4"/>
        <v>0.96246699999999996</v>
      </c>
      <c r="E25" s="198">
        <f>IF(B25&lt;=$C$2,1,IF(B25=$C$2+1,PRODUCT($D$5:D25),E24*D25))</f>
        <v>0.71535998594251959</v>
      </c>
      <c r="F25" s="10">
        <f t="shared" si="0"/>
        <v>0.43883360211662686</v>
      </c>
      <c r="G25" s="10">
        <f t="shared" si="5"/>
        <v>0.31392399944125543</v>
      </c>
      <c r="I25" s="13">
        <f t="shared" si="1"/>
        <v>3576.799929712598</v>
      </c>
      <c r="J25" s="11">
        <f>(SUM(G26:$G$79)*$I$1)</f>
        <v>11103.625033670613</v>
      </c>
      <c r="K25" s="11">
        <f t="shared" si="6"/>
        <v>-1569.6199972062786</v>
      </c>
      <c r="Q25" s="65">
        <v>21</v>
      </c>
      <c r="R25" s="66">
        <f>Inputs!H28</f>
        <v>4.4299999999999998E-4</v>
      </c>
    </row>
    <row r="26" spans="1:18" x14ac:dyDescent="0.25">
      <c r="A26">
        <f t="shared" si="2"/>
        <v>82</v>
      </c>
      <c r="B26">
        <v>22</v>
      </c>
      <c r="C26" s="12">
        <f t="shared" si="3"/>
        <v>4.2261E-2</v>
      </c>
      <c r="D26" s="10">
        <f t="shared" si="4"/>
        <v>0.95773900000000001</v>
      </c>
      <c r="E26" s="198">
        <f>IF(B26&lt;=$C$2,1,IF(B26=$C$2+1,PRODUCT($D$5:D26),E25*D26))</f>
        <v>0.68512815757660273</v>
      </c>
      <c r="F26" s="10">
        <f t="shared" si="0"/>
        <v>0.42195538665060278</v>
      </c>
      <c r="G26" s="10">
        <f t="shared" si="5"/>
        <v>0.28909351663545052</v>
      </c>
      <c r="I26" s="13">
        <f t="shared" si="1"/>
        <v>3425.6407878830137</v>
      </c>
      <c r="J26" s="11">
        <f>(SUM(G27:$G$79)*$I$1)</f>
        <v>9658.1574504933578</v>
      </c>
      <c r="K26" s="11">
        <f t="shared" si="6"/>
        <v>-1445.4675831772547</v>
      </c>
      <c r="Q26" s="65">
        <v>22</v>
      </c>
      <c r="R26" s="66">
        <f>Inputs!H29</f>
        <v>4.73E-4</v>
      </c>
    </row>
    <row r="27" spans="1:18" x14ac:dyDescent="0.25">
      <c r="A27">
        <f t="shared" si="2"/>
        <v>83</v>
      </c>
      <c r="B27">
        <v>23</v>
      </c>
      <c r="C27" s="12">
        <f t="shared" si="3"/>
        <v>4.7440999999999997E-2</v>
      </c>
      <c r="D27" s="10">
        <f t="shared" si="4"/>
        <v>0.95255900000000004</v>
      </c>
      <c r="E27" s="198">
        <f>IF(B27&lt;=$C$2,1,IF(B27=$C$2+1,PRODUCT($D$5:D27),E26*D27))</f>
        <v>0.6526249926530111</v>
      </c>
      <c r="F27" s="10">
        <f t="shared" si="0"/>
        <v>0.40572633331788732</v>
      </c>
      <c r="G27" s="10">
        <f t="shared" si="5"/>
        <v>0.26478714530071934</v>
      </c>
      <c r="I27" s="13">
        <f t="shared" si="1"/>
        <v>3263.1249632650556</v>
      </c>
      <c r="J27" s="11">
        <f>(SUM(G28:$G$79)*$I$1)</f>
        <v>8334.2217239897618</v>
      </c>
      <c r="K27" s="11">
        <f t="shared" si="6"/>
        <v>-1323.935726503596</v>
      </c>
      <c r="Q27" s="65">
        <v>23</v>
      </c>
      <c r="R27" s="66">
        <f>Inputs!H30</f>
        <v>5.13E-4</v>
      </c>
    </row>
    <row r="28" spans="1:18" x14ac:dyDescent="0.25">
      <c r="A28">
        <f t="shared" si="2"/>
        <v>84</v>
      </c>
      <c r="B28">
        <v>24</v>
      </c>
      <c r="C28" s="12">
        <f t="shared" si="3"/>
        <v>5.3233000000000003E-2</v>
      </c>
      <c r="D28" s="10">
        <f t="shared" si="4"/>
        <v>0.94676700000000003</v>
      </c>
      <c r="E28" s="198">
        <f>IF(B28&lt;=$C$2,1,IF(B28=$C$2+1,PRODUCT($D$5:D28),E27*D28))</f>
        <v>0.61788380641911334</v>
      </c>
      <c r="F28" s="10">
        <f t="shared" si="0"/>
        <v>0.39012147434412242</v>
      </c>
      <c r="G28" s="10">
        <f t="shared" si="5"/>
        <v>0.24104974153358283</v>
      </c>
      <c r="I28" s="13">
        <f t="shared" si="1"/>
        <v>3089.4190320955668</v>
      </c>
      <c r="J28" s="11">
        <f>(SUM(G29:$G$79)*$I$1)</f>
        <v>7128.9730163218464</v>
      </c>
      <c r="K28" s="11">
        <f t="shared" si="6"/>
        <v>-1205.2487076679154</v>
      </c>
      <c r="Q28" s="65">
        <v>24</v>
      </c>
      <c r="R28" s="66">
        <f>Inputs!H31</f>
        <v>5.5400000000000002E-4</v>
      </c>
    </row>
    <row r="29" spans="1:18" x14ac:dyDescent="0.25">
      <c r="A29">
        <f t="shared" si="2"/>
        <v>85</v>
      </c>
      <c r="B29">
        <v>25</v>
      </c>
      <c r="C29" s="12">
        <f t="shared" si="3"/>
        <v>5.9854999999999998E-2</v>
      </c>
      <c r="D29" s="10">
        <f t="shared" si="4"/>
        <v>0.94014500000000001</v>
      </c>
      <c r="E29" s="198">
        <f>IF(B29&lt;=$C$2,1,IF(B29=$C$2+1,PRODUCT($D$5:D29),E28*D29))</f>
        <v>0.58090037118589732</v>
      </c>
      <c r="F29" s="10">
        <f t="shared" si="0"/>
        <v>0.37511680225396377</v>
      </c>
      <c r="G29" s="10">
        <f t="shared" si="5"/>
        <v>0.2179054896673944</v>
      </c>
      <c r="I29" s="13">
        <f t="shared" si="1"/>
        <v>2904.5018559294867</v>
      </c>
      <c r="J29" s="11">
        <f>(SUM(G30:$G$79)*$I$1)</f>
        <v>6039.4455679848761</v>
      </c>
      <c r="K29" s="11">
        <f t="shared" si="6"/>
        <v>-1089.5274483369703</v>
      </c>
      <c r="Q29" s="65">
        <v>25</v>
      </c>
      <c r="R29" s="66">
        <f>Inputs!H32</f>
        <v>6.02E-4</v>
      </c>
    </row>
    <row r="30" spans="1:18" x14ac:dyDescent="0.25">
      <c r="A30">
        <f t="shared" si="2"/>
        <v>86</v>
      </c>
      <c r="B30">
        <v>26</v>
      </c>
      <c r="C30" s="12">
        <f t="shared" si="3"/>
        <v>6.7514000000000005E-2</v>
      </c>
      <c r="D30" s="10">
        <f t="shared" si="4"/>
        <v>0.93248600000000004</v>
      </c>
      <c r="E30" s="198">
        <f>IF(B30&lt;=$C$2,1,IF(B30=$C$2+1,PRODUCT($D$5:D30),E29*D30))</f>
        <v>0.54168146352565272</v>
      </c>
      <c r="F30" s="10">
        <f t="shared" si="0"/>
        <v>0.36068923293650368</v>
      </c>
      <c r="G30" s="10">
        <f t="shared" si="5"/>
        <v>0.19537867157499036</v>
      </c>
      <c r="I30" s="13">
        <f t="shared" si="1"/>
        <v>2708.4073176282636</v>
      </c>
      <c r="J30" s="11">
        <f>(SUM(G31:$G$79)*$I$1)</f>
        <v>5062.5522101099232</v>
      </c>
      <c r="K30" s="11">
        <f t="shared" si="6"/>
        <v>-976.89335787495293</v>
      </c>
      <c r="Q30" s="65">
        <v>26</v>
      </c>
      <c r="R30" s="66">
        <f>Inputs!H33</f>
        <v>6.5499999999999998E-4</v>
      </c>
    </row>
    <row r="31" spans="1:18" x14ac:dyDescent="0.25">
      <c r="A31">
        <f t="shared" si="2"/>
        <v>87</v>
      </c>
      <c r="B31">
        <v>27</v>
      </c>
      <c r="C31" s="12">
        <f t="shared" si="3"/>
        <v>7.6340000000000005E-2</v>
      </c>
      <c r="D31" s="10">
        <f t="shared" si="4"/>
        <v>0.92366000000000004</v>
      </c>
      <c r="E31" s="198">
        <f>IF(B31&lt;=$C$2,1,IF(B31=$C$2+1,PRODUCT($D$5:D31),E30*D31))</f>
        <v>0.50032950060010439</v>
      </c>
      <c r="F31" s="10">
        <f t="shared" si="0"/>
        <v>0.3468165701312535</v>
      </c>
      <c r="G31" s="10">
        <f t="shared" si="5"/>
        <v>0.17352256133361116</v>
      </c>
      <c r="I31" s="13">
        <f t="shared" si="1"/>
        <v>2501.6475030005222</v>
      </c>
      <c r="J31" s="11">
        <f>(SUM(G32:$G$79)*$I$1)</f>
        <v>4194.9394034418665</v>
      </c>
      <c r="K31" s="11">
        <f t="shared" si="6"/>
        <v>-867.61280666805669</v>
      </c>
      <c r="Q31" s="65">
        <v>27</v>
      </c>
      <c r="R31" s="66">
        <f>Inputs!H34</f>
        <v>6.8800000000000003E-4</v>
      </c>
    </row>
    <row r="32" spans="1:18" x14ac:dyDescent="0.25">
      <c r="A32">
        <f t="shared" si="2"/>
        <v>88</v>
      </c>
      <c r="B32">
        <v>28</v>
      </c>
      <c r="C32" s="12">
        <f t="shared" si="3"/>
        <v>8.6388000000000006E-2</v>
      </c>
      <c r="D32" s="10">
        <f t="shared" si="4"/>
        <v>0.91361199999999998</v>
      </c>
      <c r="E32" s="198">
        <f>IF(B32&lt;=$C$2,1,IF(B32=$C$2+1,PRODUCT($D$5:D32),E31*D32))</f>
        <v>0.45710703570226258</v>
      </c>
      <c r="F32" s="10">
        <f t="shared" si="0"/>
        <v>0.3334774712800514</v>
      </c>
      <c r="G32" s="10">
        <f t="shared" si="5"/>
        <v>0.15243489837031068</v>
      </c>
      <c r="I32" s="13">
        <f t="shared" si="1"/>
        <v>2285.535178511313</v>
      </c>
      <c r="J32" s="11">
        <f>(SUM(G33:$G$79)*$I$1)</f>
        <v>3432.7649115903132</v>
      </c>
      <c r="K32" s="11">
        <f t="shared" si="6"/>
        <v>-762.17449185155328</v>
      </c>
      <c r="Q32" s="65">
        <v>28</v>
      </c>
      <c r="R32" s="66">
        <f>Inputs!H35</f>
        <v>7.1000000000000002E-4</v>
      </c>
    </row>
    <row r="33" spans="1:18" x14ac:dyDescent="0.25">
      <c r="A33">
        <f t="shared" si="2"/>
        <v>89</v>
      </c>
      <c r="B33">
        <v>29</v>
      </c>
      <c r="C33" s="12">
        <f t="shared" si="3"/>
        <v>9.7633999999999999E-2</v>
      </c>
      <c r="D33" s="10">
        <f t="shared" si="4"/>
        <v>0.902366</v>
      </c>
      <c r="E33" s="198">
        <f>IF(B33&lt;=$C$2,1,IF(B33=$C$2+1,PRODUCT($D$5:D33),E32*D33))</f>
        <v>0.4124778473785079</v>
      </c>
      <c r="F33" s="10">
        <f t="shared" si="0"/>
        <v>0.32065141469235708</v>
      </c>
      <c r="G33" s="10">
        <f t="shared" si="5"/>
        <v>0.1322616052911767</v>
      </c>
      <c r="I33" s="13">
        <f t="shared" si="1"/>
        <v>2062.3892368925394</v>
      </c>
      <c r="J33" s="11">
        <f>(SUM(G34:$G$79)*$I$1)</f>
        <v>2771.4568851344302</v>
      </c>
      <c r="K33" s="11">
        <f t="shared" si="6"/>
        <v>-661.30802645588301</v>
      </c>
      <c r="Q33" s="65">
        <v>29</v>
      </c>
      <c r="R33" s="66">
        <f>Inputs!H36</f>
        <v>7.27E-4</v>
      </c>
    </row>
    <row r="34" spans="1:18" x14ac:dyDescent="0.25">
      <c r="A34">
        <f t="shared" si="2"/>
        <v>90</v>
      </c>
      <c r="B34">
        <v>30</v>
      </c>
      <c r="C34" s="12">
        <f t="shared" si="3"/>
        <v>0.10999299999999999</v>
      </c>
      <c r="D34" s="10">
        <f t="shared" si="4"/>
        <v>0.89000699999999999</v>
      </c>
      <c r="E34" s="198">
        <f>IF(B34&lt;=$C$2,1,IF(B34=$C$2+1,PRODUCT($D$5:D34),E33*D34))</f>
        <v>0.36710817151180369</v>
      </c>
      <c r="F34" s="10">
        <f t="shared" si="0"/>
        <v>0.30831866797342034</v>
      </c>
      <c r="G34" s="10">
        <f t="shared" si="5"/>
        <v>0.11318630244267724</v>
      </c>
      <c r="I34" s="13">
        <f t="shared" si="1"/>
        <v>1835.5408575590184</v>
      </c>
      <c r="J34" s="11">
        <f>(SUM(G35:$G$79)*$I$1)</f>
        <v>2205.525372921044</v>
      </c>
      <c r="K34" s="11">
        <f t="shared" si="6"/>
        <v>-565.93151221338621</v>
      </c>
      <c r="Q34" s="65">
        <v>30</v>
      </c>
      <c r="R34" s="66">
        <f>Inputs!H37</f>
        <v>7.4100000000000001E-4</v>
      </c>
    </row>
    <row r="35" spans="1:18" x14ac:dyDescent="0.25">
      <c r="A35">
        <f t="shared" si="2"/>
        <v>91</v>
      </c>
      <c r="B35">
        <v>31</v>
      </c>
      <c r="C35" s="12">
        <f t="shared" si="3"/>
        <v>0.12311900000000001</v>
      </c>
      <c r="D35" s="10">
        <f t="shared" si="4"/>
        <v>0.87688100000000002</v>
      </c>
      <c r="E35" s="198">
        <f>IF(B35&lt;=$C$2,1,IF(B35=$C$2+1,PRODUCT($D$5:D35),E34*D35))</f>
        <v>0.32191018054344195</v>
      </c>
      <c r="F35" s="10">
        <f t="shared" si="0"/>
        <v>0.29646025766675027</v>
      </c>
      <c r="G35" s="10">
        <f t="shared" si="5"/>
        <v>9.5433575069458904E-2</v>
      </c>
      <c r="I35" s="13">
        <f t="shared" si="1"/>
        <v>1609.5509027172097</v>
      </c>
      <c r="J35" s="11">
        <f>(SUM(G36:$G$79)*$I$1)</f>
        <v>1728.3574975737492</v>
      </c>
      <c r="K35" s="11">
        <f t="shared" si="6"/>
        <v>-477.16787534729474</v>
      </c>
      <c r="Q35" s="65">
        <v>31</v>
      </c>
      <c r="R35" s="66">
        <f>Inputs!H38</f>
        <v>7.5100000000000004E-4</v>
      </c>
    </row>
    <row r="36" spans="1:18" x14ac:dyDescent="0.25">
      <c r="A36">
        <f t="shared" si="2"/>
        <v>92</v>
      </c>
      <c r="B36">
        <v>32</v>
      </c>
      <c r="C36" s="12">
        <f t="shared" si="3"/>
        <v>0.13716800000000001</v>
      </c>
      <c r="D36" s="10">
        <f t="shared" si="4"/>
        <v>0.86283200000000004</v>
      </c>
      <c r="E36" s="198">
        <f>IF(B36&lt;=$C$2,1,IF(B36=$C$2+1,PRODUCT($D$5:D36),E35*D36))</f>
        <v>0.2777544048986591</v>
      </c>
      <c r="F36" s="10">
        <f t="shared" si="0"/>
        <v>0.28505794006418295</v>
      </c>
      <c r="G36" s="10">
        <f t="shared" si="5"/>
        <v>7.9176098504164766E-2</v>
      </c>
      <c r="I36" s="13">
        <f t="shared" si="1"/>
        <v>1388.7720244932955</v>
      </c>
      <c r="J36" s="11">
        <f>(SUM(G37:$G$79)*$I$1)</f>
        <v>1332.4770050529253</v>
      </c>
      <c r="K36" s="11">
        <f t="shared" si="6"/>
        <v>-395.88049252082396</v>
      </c>
      <c r="Q36" s="65">
        <v>32</v>
      </c>
      <c r="R36" s="66">
        <f>Inputs!H39</f>
        <v>7.54E-4</v>
      </c>
    </row>
    <row r="37" spans="1:18" x14ac:dyDescent="0.25">
      <c r="A37">
        <f t="shared" si="2"/>
        <v>93</v>
      </c>
      <c r="B37">
        <v>33</v>
      </c>
      <c r="C37" s="12">
        <f t="shared" si="3"/>
        <v>0.152171</v>
      </c>
      <c r="D37" s="10">
        <f t="shared" si="4"/>
        <v>0.84782899999999994</v>
      </c>
      <c r="E37" s="198">
        <f>IF(B37&lt;=$C$2,1,IF(B37=$C$2+1,PRODUCT($D$5:D37),E36*D37))</f>
        <v>0.23548823935082525</v>
      </c>
      <c r="F37" s="10">
        <f t="shared" si="0"/>
        <v>0.27409417313863743</v>
      </c>
      <c r="G37" s="10">
        <f t="shared" si="5"/>
        <v>6.4545954248737991E-2</v>
      </c>
      <c r="I37" s="13">
        <f t="shared" si="1"/>
        <v>1177.4411967541262</v>
      </c>
      <c r="J37" s="11">
        <f>(SUM(G38:$G$79)*$I$1)</f>
        <v>1009.7472338092356</v>
      </c>
      <c r="K37" s="11">
        <f t="shared" si="6"/>
        <v>-322.7297712436897</v>
      </c>
      <c r="Q37" s="65">
        <v>33</v>
      </c>
      <c r="R37" s="66">
        <f>Inputs!H40</f>
        <v>7.5600000000000005E-4</v>
      </c>
    </row>
    <row r="38" spans="1:18" x14ac:dyDescent="0.25">
      <c r="A38">
        <f t="shared" si="2"/>
        <v>94</v>
      </c>
      <c r="B38">
        <v>34</v>
      </c>
      <c r="C38" s="12">
        <f t="shared" si="3"/>
        <v>0.16819400000000001</v>
      </c>
      <c r="D38" s="10">
        <f t="shared" si="4"/>
        <v>0.83180600000000005</v>
      </c>
      <c r="E38" s="198">
        <f>IF(B38&lt;=$C$2,1,IF(B38=$C$2+1,PRODUCT($D$5:D38),E37*D38))</f>
        <v>0.19588053042145256</v>
      </c>
      <c r="F38" s="10">
        <f t="shared" si="0"/>
        <v>0.26355208955638215</v>
      </c>
      <c r="G38" s="10">
        <f t="shared" si="5"/>
        <v>5.1624723095986307E-2</v>
      </c>
      <c r="I38" s="13">
        <f t="shared" si="1"/>
        <v>979.40265210726284</v>
      </c>
      <c r="J38" s="11">
        <f>(SUM(G39:$G$79)*$I$1)</f>
        <v>751.62361832930401</v>
      </c>
      <c r="K38" s="11">
        <f t="shared" si="6"/>
        <v>-258.12361547993157</v>
      </c>
      <c r="Q38" s="65">
        <v>34</v>
      </c>
      <c r="R38" s="66">
        <f>Inputs!H41</f>
        <v>7.5600000000000005E-4</v>
      </c>
    </row>
    <row r="39" spans="1:18" x14ac:dyDescent="0.25">
      <c r="A39">
        <f t="shared" si="2"/>
        <v>95</v>
      </c>
      <c r="B39">
        <v>35</v>
      </c>
      <c r="C39" s="12">
        <f t="shared" si="3"/>
        <v>0.18526000000000001</v>
      </c>
      <c r="D39" s="10">
        <f t="shared" si="4"/>
        <v>0.81474000000000002</v>
      </c>
      <c r="E39" s="198">
        <f>IF(B39&lt;=$C$2,1,IF(B39=$C$2+1,PRODUCT($D$5:D39),E38*D39))</f>
        <v>0.15959170335557427</v>
      </c>
      <c r="F39" s="10">
        <f t="shared" si="0"/>
        <v>0.25341547072729048</v>
      </c>
      <c r="G39" s="10">
        <f t="shared" si="5"/>
        <v>4.0443006630022954E-2</v>
      </c>
      <c r="I39" s="13">
        <f t="shared" si="1"/>
        <v>797.9585167778713</v>
      </c>
      <c r="J39" s="11">
        <f>(SUM(G40:$G$79)*$I$1)</f>
        <v>549.40858517918912</v>
      </c>
      <c r="K39" s="11">
        <f t="shared" si="6"/>
        <v>-202.21503315011489</v>
      </c>
      <c r="Q39" s="65">
        <v>35</v>
      </c>
      <c r="R39" s="66">
        <f>Inputs!H42</f>
        <v>7.5600000000000005E-4</v>
      </c>
    </row>
    <row r="40" spans="1:18" x14ac:dyDescent="0.25">
      <c r="A40">
        <f t="shared" si="2"/>
        <v>96</v>
      </c>
      <c r="B40">
        <v>36</v>
      </c>
      <c r="C40" s="12">
        <f t="shared" si="3"/>
        <v>0.197322</v>
      </c>
      <c r="D40" s="10">
        <f t="shared" si="4"/>
        <v>0.802678</v>
      </c>
      <c r="E40" s="198">
        <f>IF(B40&lt;=$C$2,1,IF(B40=$C$2+1,PRODUCT($D$5:D40),E39*D40))</f>
        <v>0.12810074926604564</v>
      </c>
      <c r="F40" s="10">
        <f t="shared" si="0"/>
        <v>0.24366872185316396</v>
      </c>
      <c r="G40" s="10">
        <f t="shared" si="5"/>
        <v>3.1214145842089973E-2</v>
      </c>
      <c r="I40" s="13">
        <f t="shared" si="1"/>
        <v>640.50374633022818</v>
      </c>
      <c r="J40" s="11">
        <f>(SUM(G41:$G$79)*$I$1)</f>
        <v>393.33785596873929</v>
      </c>
      <c r="K40" s="11">
        <f t="shared" si="6"/>
        <v>-156.07072921044983</v>
      </c>
      <c r="Q40" s="65">
        <v>36</v>
      </c>
      <c r="R40" s="66">
        <f>Inputs!H43</f>
        <v>7.5600000000000005E-4</v>
      </c>
    </row>
    <row r="41" spans="1:18" x14ac:dyDescent="0.25">
      <c r="A41">
        <f t="shared" si="2"/>
        <v>97</v>
      </c>
      <c r="B41">
        <v>37</v>
      </c>
      <c r="C41" s="12">
        <f t="shared" si="3"/>
        <v>0.214751</v>
      </c>
      <c r="D41" s="10">
        <f t="shared" si="4"/>
        <v>0.78524899999999997</v>
      </c>
      <c r="E41" s="198">
        <f>IF(B41&lt;=$C$2,1,IF(B41=$C$2+1,PRODUCT($D$5:D41),E40*D41))</f>
        <v>0.10059098526041307</v>
      </c>
      <c r="F41" s="10">
        <f t="shared" si="0"/>
        <v>0.23429684793573452</v>
      </c>
      <c r="G41" s="10">
        <f t="shared" si="5"/>
        <v>2.3568150777264714E-2</v>
      </c>
      <c r="I41" s="13">
        <f t="shared" si="1"/>
        <v>502.95492630206536</v>
      </c>
      <c r="J41" s="11">
        <f>(SUM(G42:$G$79)*$I$1)</f>
        <v>275.49710208241572</v>
      </c>
      <c r="K41" s="11">
        <f t="shared" si="6"/>
        <v>-117.84075388632357</v>
      </c>
      <c r="Q41" s="65">
        <v>37</v>
      </c>
      <c r="R41" s="66">
        <f>Inputs!H44</f>
        <v>7.5600000000000005E-4</v>
      </c>
    </row>
    <row r="42" spans="1:18" x14ac:dyDescent="0.25">
      <c r="A42">
        <f t="shared" si="2"/>
        <v>98</v>
      </c>
      <c r="B42">
        <v>38</v>
      </c>
      <c r="C42" s="12">
        <f t="shared" si="3"/>
        <v>0.23250699999999999</v>
      </c>
      <c r="D42" s="10">
        <f t="shared" si="4"/>
        <v>0.76749299999999998</v>
      </c>
      <c r="E42" s="198">
        <f>IF(B42&lt;=$C$2,1,IF(B42=$C$2+1,PRODUCT($D$5:D42),E41*D42))</f>
        <v>7.7202877050470214E-2</v>
      </c>
      <c r="F42" s="10">
        <f t="shared" si="0"/>
        <v>0.22528543070743706</v>
      </c>
      <c r="G42" s="10">
        <f t="shared" si="5"/>
        <v>1.7392683408168491E-2</v>
      </c>
      <c r="I42" s="13">
        <f t="shared" si="1"/>
        <v>386.01438525235108</v>
      </c>
      <c r="J42" s="11">
        <f>(SUM(G43:$G$79)*$I$1)</f>
        <v>188.53368504157325</v>
      </c>
      <c r="K42" s="11">
        <f t="shared" si="6"/>
        <v>-86.963417040842472</v>
      </c>
      <c r="Q42" s="65">
        <v>38</v>
      </c>
      <c r="R42" s="66">
        <f>Inputs!H45</f>
        <v>7.5600000000000005E-4</v>
      </c>
    </row>
    <row r="43" spans="1:18" x14ac:dyDescent="0.25">
      <c r="A43">
        <f t="shared" si="2"/>
        <v>99</v>
      </c>
      <c r="B43">
        <v>39</v>
      </c>
      <c r="C43" s="12">
        <f t="shared" si="3"/>
        <v>0.25039699999999998</v>
      </c>
      <c r="D43" s="10">
        <f t="shared" si="4"/>
        <v>0.74960300000000002</v>
      </c>
      <c r="E43" s="198">
        <f>IF(B43&lt;=$C$2,1,IF(B43=$C$2+1,PRODUCT($D$5:D43),E42*D43))</f>
        <v>5.7871508245663623E-2</v>
      </c>
      <c r="F43" s="10">
        <f t="shared" si="0"/>
        <v>0.21662060644945874</v>
      </c>
      <c r="G43" s="10">
        <f t="shared" si="5"/>
        <v>1.2536161212320505E-2</v>
      </c>
      <c r="I43" s="13">
        <f t="shared" si="1"/>
        <v>289.3575412283181</v>
      </c>
      <c r="J43" s="11">
        <f>(SUM(G44:$G$79)*$I$1)</f>
        <v>125.85287897997078</v>
      </c>
      <c r="K43" s="11">
        <f t="shared" si="6"/>
        <v>-62.680806061602468</v>
      </c>
      <c r="Q43" s="65">
        <v>39</v>
      </c>
      <c r="R43" s="66">
        <f>Inputs!H46</f>
        <v>8.0000000000000004E-4</v>
      </c>
    </row>
    <row r="44" spans="1:18" x14ac:dyDescent="0.25">
      <c r="A44">
        <f t="shared" si="2"/>
        <v>100</v>
      </c>
      <c r="B44">
        <v>40</v>
      </c>
      <c r="C44" s="12">
        <f t="shared" si="3"/>
        <v>0.26860699999999998</v>
      </c>
      <c r="D44" s="10">
        <f t="shared" si="4"/>
        <v>0.73139299999999996</v>
      </c>
      <c r="E44" s="198">
        <f>IF(B44&lt;=$C$2,1,IF(B44=$C$2+1,PRODUCT($D$5:D44),E43*D44))</f>
        <v>4.2326816030320652E-2</v>
      </c>
      <c r="F44" s="10">
        <f t="shared" si="0"/>
        <v>0.20828904466294101</v>
      </c>
      <c r="G44" s="10">
        <f t="shared" si="5"/>
        <v>8.816212074579546E-3</v>
      </c>
      <c r="I44" s="13">
        <f t="shared" si="1"/>
        <v>211.63408015160326</v>
      </c>
      <c r="J44" s="11">
        <f>(SUM(G45:$G$79)*$I$1)</f>
        <v>81.77181860707303</v>
      </c>
      <c r="K44" s="11">
        <f t="shared" si="6"/>
        <v>-44.081060372897753</v>
      </c>
      <c r="Q44" s="65">
        <v>40</v>
      </c>
      <c r="R44" s="66">
        <f>Inputs!H47</f>
        <v>8.5899999999999995E-4</v>
      </c>
    </row>
    <row r="45" spans="1:18" x14ac:dyDescent="0.25">
      <c r="A45">
        <f t="shared" si="2"/>
        <v>101</v>
      </c>
      <c r="B45">
        <v>41</v>
      </c>
      <c r="C45" s="12">
        <f t="shared" si="3"/>
        <v>0.290016</v>
      </c>
      <c r="D45" s="10">
        <f t="shared" si="4"/>
        <v>0.70998399999999995</v>
      </c>
      <c r="E45" s="198">
        <f>IF(B45&lt;=$C$2,1,IF(B45=$C$2+1,PRODUCT($D$5:D45),E44*D45))</f>
        <v>3.0051362152471176E-2</v>
      </c>
      <c r="F45" s="10">
        <f t="shared" si="0"/>
        <v>0.20027792756052021</v>
      </c>
      <c r="G45" s="10">
        <f t="shared" si="5"/>
        <v>6.0186245322675809E-3</v>
      </c>
      <c r="I45" s="13">
        <f t="shared" si="1"/>
        <v>150.25681076235588</v>
      </c>
      <c r="J45" s="11">
        <f>(SUM(G46:$G$79)*$I$1)</f>
        <v>51.678695945735107</v>
      </c>
      <c r="K45" s="11">
        <f t="shared" si="6"/>
        <v>-30.093122661337922</v>
      </c>
      <c r="Q45" s="65">
        <v>41</v>
      </c>
      <c r="R45" s="66">
        <f>Inputs!H48</f>
        <v>9.2599999999999996E-4</v>
      </c>
    </row>
    <row r="46" spans="1:18" x14ac:dyDescent="0.25">
      <c r="A46">
        <f t="shared" si="2"/>
        <v>102</v>
      </c>
      <c r="B46">
        <v>42</v>
      </c>
      <c r="C46" s="12">
        <f t="shared" si="3"/>
        <v>0.31184899999999999</v>
      </c>
      <c r="D46" s="10">
        <f t="shared" si="4"/>
        <v>0.68815099999999996</v>
      </c>
      <c r="E46" s="198">
        <f>IF(B46&lt;=$C$2,1,IF(B46=$C$2+1,PRODUCT($D$5:D46),E45*D46))</f>
        <v>2.0679874916585191E-2</v>
      </c>
      <c r="F46" s="10">
        <f t="shared" si="0"/>
        <v>0.19257493034665407</v>
      </c>
      <c r="G46" s="10">
        <f t="shared" si="5"/>
        <v>3.9824254716389115E-3</v>
      </c>
      <c r="I46" s="13">
        <f t="shared" si="1"/>
        <v>103.39937458292596</v>
      </c>
      <c r="J46" s="11">
        <f>(SUM(G47:$G$79)*$I$1)</f>
        <v>31.766568587540558</v>
      </c>
      <c r="K46" s="11">
        <f t="shared" si="6"/>
        <v>-19.912127358194549</v>
      </c>
      <c r="Q46" s="65">
        <v>42</v>
      </c>
      <c r="R46" s="66">
        <f>Inputs!H49</f>
        <v>9.990000000000001E-4</v>
      </c>
    </row>
    <row r="47" spans="1:18" x14ac:dyDescent="0.25">
      <c r="A47">
        <f t="shared" si="2"/>
        <v>103</v>
      </c>
      <c r="B47">
        <v>43</v>
      </c>
      <c r="C47" s="12">
        <f t="shared" si="3"/>
        <v>0.33396199999999998</v>
      </c>
      <c r="D47" s="10">
        <f t="shared" si="4"/>
        <v>0.66603800000000002</v>
      </c>
      <c r="E47" s="198">
        <f>IF(B47&lt;=$C$2,1,IF(B47=$C$2+1,PRODUCT($D$5:D47),E46*D47))</f>
        <v>1.3773582529692567E-2</v>
      </c>
      <c r="F47" s="10">
        <f t="shared" si="0"/>
        <v>0.18516820225639813</v>
      </c>
      <c r="G47" s="10">
        <f t="shared" si="5"/>
        <v>2.5504295156533051E-3</v>
      </c>
      <c r="I47" s="13">
        <f t="shared" si="1"/>
        <v>68.867912648462834</v>
      </c>
      <c r="J47" s="11">
        <f>(SUM(G48:$G$79)*$I$1)</f>
        <v>19.014421009274031</v>
      </c>
      <c r="K47" s="11">
        <f t="shared" si="6"/>
        <v>-12.752147578266527</v>
      </c>
      <c r="Q47" s="65">
        <v>43</v>
      </c>
      <c r="R47" s="66">
        <f>Inputs!H50</f>
        <v>1.0690000000000001E-3</v>
      </c>
    </row>
    <row r="48" spans="1:18" x14ac:dyDescent="0.25">
      <c r="A48">
        <f t="shared" si="2"/>
        <v>104</v>
      </c>
      <c r="B48">
        <v>44</v>
      </c>
      <c r="C48" s="12">
        <f t="shared" si="3"/>
        <v>0.356207</v>
      </c>
      <c r="D48" s="10">
        <f t="shared" si="4"/>
        <v>0.64379300000000006</v>
      </c>
      <c r="E48" s="198">
        <f>IF(B48&lt;=$C$2,1,IF(B48=$C$2+1,PRODUCT($D$5:D48),E47*D48))</f>
        <v>8.8673360175383683E-3</v>
      </c>
      <c r="F48" s="10">
        <f t="shared" si="0"/>
        <v>0.17804634832345972</v>
      </c>
      <c r="G48" s="10">
        <f t="shared" si="5"/>
        <v>1.5787967972797966E-3</v>
      </c>
      <c r="I48" s="13">
        <f t="shared" si="1"/>
        <v>44.336680087691839</v>
      </c>
      <c r="J48" s="11">
        <f>(SUM(G49:$G$79)*$I$1)</f>
        <v>11.120437022875047</v>
      </c>
      <c r="K48" s="11">
        <f t="shared" si="6"/>
        <v>-7.8939839863989842</v>
      </c>
      <c r="Q48" s="65">
        <v>44</v>
      </c>
      <c r="R48" s="66">
        <f>Inputs!H51</f>
        <v>1.142E-3</v>
      </c>
    </row>
    <row r="49" spans="1:18" x14ac:dyDescent="0.25">
      <c r="A49">
        <f t="shared" si="2"/>
        <v>105</v>
      </c>
      <c r="B49">
        <v>45</v>
      </c>
      <c r="C49" s="12">
        <f t="shared" si="3"/>
        <v>0.38</v>
      </c>
      <c r="D49" s="10">
        <f t="shared" si="4"/>
        <v>0.62</v>
      </c>
      <c r="E49" s="198">
        <f>IF(B49&lt;=$C$2,1,IF(B49=$C$2+1,PRODUCT($D$5:D49),E48*D49))</f>
        <v>5.4977483308737887E-3</v>
      </c>
      <c r="F49" s="10">
        <f t="shared" si="0"/>
        <v>0.17119841184948048</v>
      </c>
      <c r="G49" s="10">
        <f t="shared" si="5"/>
        <v>9.4120578299372473E-4</v>
      </c>
      <c r="I49" s="13">
        <f t="shared" si="1"/>
        <v>27.488741654368944</v>
      </c>
      <c r="J49" s="11">
        <f>(SUM(G50:$G$79)*$I$1)</f>
        <v>6.414408107906425</v>
      </c>
      <c r="K49" s="11">
        <f t="shared" si="6"/>
        <v>-4.7060289149686216</v>
      </c>
      <c r="Q49" s="65">
        <v>45</v>
      </c>
      <c r="R49" s="66">
        <f>Inputs!H52</f>
        <v>1.219E-3</v>
      </c>
    </row>
    <row r="50" spans="1:18" x14ac:dyDescent="0.25">
      <c r="A50">
        <f t="shared" si="2"/>
        <v>106</v>
      </c>
      <c r="B50">
        <v>46</v>
      </c>
      <c r="C50" s="12">
        <f t="shared" si="3"/>
        <v>0.4</v>
      </c>
      <c r="D50" s="10">
        <f t="shared" si="4"/>
        <v>0.6</v>
      </c>
      <c r="E50" s="198">
        <f>IF(B50&lt;=$C$2,1,IF(B50=$C$2+1,PRODUCT($D$5:D50),E49*D50))</f>
        <v>3.2986489985242732E-3</v>
      </c>
      <c r="F50" s="10">
        <f t="shared" si="0"/>
        <v>0.1646138575475774</v>
      </c>
      <c r="G50" s="10">
        <f t="shared" si="5"/>
        <v>5.430033363425336E-4</v>
      </c>
      <c r="I50" s="13">
        <f t="shared" si="1"/>
        <v>16.493244992621367</v>
      </c>
      <c r="J50" s="11">
        <f>(SUM(G51:$G$79)*$I$1)</f>
        <v>3.6993914261937553</v>
      </c>
      <c r="K50" s="11">
        <f t="shared" si="6"/>
        <v>-2.7150166817126697</v>
      </c>
      <c r="Q50" s="65">
        <v>46</v>
      </c>
      <c r="R50" s="66">
        <f>Inputs!H53</f>
        <v>1.3179999999999999E-3</v>
      </c>
    </row>
    <row r="51" spans="1:18" x14ac:dyDescent="0.25">
      <c r="A51">
        <f t="shared" si="2"/>
        <v>107</v>
      </c>
      <c r="B51">
        <v>47</v>
      </c>
      <c r="C51" s="12">
        <f t="shared" si="3"/>
        <v>0.4</v>
      </c>
      <c r="D51" s="10">
        <f t="shared" si="4"/>
        <v>0.6</v>
      </c>
      <c r="E51" s="198">
        <f>IF(B51&lt;=$C$2,1,IF(B51=$C$2+1,PRODUCT($D$5:D51),E50*D51))</f>
        <v>1.979189399114564E-3</v>
      </c>
      <c r="F51" s="10">
        <f t="shared" si="0"/>
        <v>0.15828255533420904</v>
      </c>
      <c r="G51" s="10">
        <f t="shared" si="5"/>
        <v>3.1327115558223091E-4</v>
      </c>
      <c r="I51" s="13">
        <f t="shared" si="1"/>
        <v>9.8959469955728192</v>
      </c>
      <c r="J51" s="11">
        <f>(SUM(G52:$G$79)*$I$1)</f>
        <v>2.1330356482826005</v>
      </c>
      <c r="K51" s="11">
        <f t="shared" si="6"/>
        <v>-1.5663557779111548</v>
      </c>
      <c r="Q51" s="65">
        <v>47</v>
      </c>
      <c r="R51" s="66">
        <f>Inputs!H54</f>
        <v>1.454E-3</v>
      </c>
    </row>
    <row r="52" spans="1:18" x14ac:dyDescent="0.25">
      <c r="A52">
        <f t="shared" si="2"/>
        <v>108</v>
      </c>
      <c r="B52">
        <v>48</v>
      </c>
      <c r="C52" s="12">
        <f t="shared" si="3"/>
        <v>0.4</v>
      </c>
      <c r="D52" s="10">
        <f t="shared" si="4"/>
        <v>0.6</v>
      </c>
      <c r="E52" s="198">
        <f>IF(B52&lt;=$C$2,1,IF(B52=$C$2+1,PRODUCT($D$5:D52),E51*D52))</f>
        <v>1.1875136394687384E-3</v>
      </c>
      <c r="F52" s="10">
        <f t="shared" si="0"/>
        <v>0.15219476474443175</v>
      </c>
      <c r="G52" s="10">
        <f t="shared" si="5"/>
        <v>1.8073335898974858E-4</v>
      </c>
      <c r="I52" s="13">
        <f t="shared" si="1"/>
        <v>5.9375681973436922</v>
      </c>
      <c r="J52" s="11">
        <f>(SUM(G53:$G$79)*$I$1)</f>
        <v>1.2293688533338578</v>
      </c>
      <c r="K52" s="11">
        <f t="shared" si="6"/>
        <v>-0.90366679494874269</v>
      </c>
      <c r="Q52" s="65">
        <v>48</v>
      </c>
      <c r="R52" s="66">
        <f>Inputs!H55</f>
        <v>1.627E-3</v>
      </c>
    </row>
    <row r="53" spans="1:18" x14ac:dyDescent="0.25">
      <c r="A53">
        <f t="shared" si="2"/>
        <v>109</v>
      </c>
      <c r="B53">
        <v>49</v>
      </c>
      <c r="C53" s="12">
        <f t="shared" si="3"/>
        <v>0.4</v>
      </c>
      <c r="D53" s="10">
        <f t="shared" si="4"/>
        <v>0.6</v>
      </c>
      <c r="E53" s="198">
        <f>IF(B53&lt;=$C$2,1,IF(B53=$C$2+1,PRODUCT($D$5:D53),E52*D53))</f>
        <v>7.12508183681243E-4</v>
      </c>
      <c r="F53" s="10">
        <f t="shared" si="0"/>
        <v>0.14634111994656898</v>
      </c>
      <c r="G53" s="10">
        <f t="shared" si="5"/>
        <v>1.0426924557100879E-4</v>
      </c>
      <c r="I53" s="13">
        <f t="shared" si="1"/>
        <v>3.5625409184062149</v>
      </c>
      <c r="J53" s="11">
        <f>(SUM(G54:$G$79)*$I$1)</f>
        <v>0.70802262547881401</v>
      </c>
      <c r="K53" s="11">
        <f t="shared" si="6"/>
        <v>-0.52134622785504381</v>
      </c>
      <c r="Q53" s="65">
        <v>49</v>
      </c>
      <c r="R53" s="66">
        <f>Inputs!H56</f>
        <v>1.8289999999999999E-3</v>
      </c>
    </row>
    <row r="54" spans="1:18" x14ac:dyDescent="0.25">
      <c r="A54">
        <f t="shared" si="2"/>
        <v>110</v>
      </c>
      <c r="B54">
        <v>50</v>
      </c>
      <c r="C54" s="12">
        <f t="shared" si="3"/>
        <v>0.4</v>
      </c>
      <c r="D54" s="10">
        <f t="shared" si="4"/>
        <v>0.6</v>
      </c>
      <c r="E54" s="198">
        <f>IF(B54&lt;=$C$2,1,IF(B54=$C$2+1,PRODUCT($D$5:D54),E53*D54))</f>
        <v>4.2750491020874577E-4</v>
      </c>
      <c r="F54" s="10">
        <f t="shared" si="0"/>
        <v>0.14071261533323939</v>
      </c>
      <c r="G54" s="10">
        <f t="shared" si="5"/>
        <v>6.0155333983274287E-5</v>
      </c>
      <c r="I54" s="13">
        <f t="shared" si="1"/>
        <v>2.1375245510437288</v>
      </c>
      <c r="J54" s="11">
        <f>(SUM(G55:$G$79)*$I$1)</f>
        <v>0.40724595556244253</v>
      </c>
      <c r="K54" s="11">
        <f t="shared" si="6"/>
        <v>-0.30077666991637148</v>
      </c>
      <c r="Q54" s="65">
        <v>50</v>
      </c>
      <c r="R54" s="66">
        <f>Inputs!H57</f>
        <v>2.0569999999999998E-3</v>
      </c>
    </row>
    <row r="55" spans="1:18" x14ac:dyDescent="0.25">
      <c r="A55">
        <f t="shared" si="2"/>
        <v>111</v>
      </c>
      <c r="B55">
        <v>51</v>
      </c>
      <c r="C55" s="12">
        <f t="shared" si="3"/>
        <v>0.4</v>
      </c>
      <c r="D55" s="10">
        <f t="shared" si="4"/>
        <v>0.6</v>
      </c>
      <c r="E55" s="198">
        <f>IF(B55&lt;=$C$2,1,IF(B55=$C$2+1,PRODUCT($D$5:D55),E54*D55))</f>
        <v>2.5650294612524746E-4</v>
      </c>
      <c r="F55" s="10">
        <f t="shared" si="0"/>
        <v>0.13530059166657632</v>
      </c>
      <c r="G55" s="10">
        <f t="shared" si="5"/>
        <v>3.4705000374965928E-5</v>
      </c>
      <c r="I55" s="13">
        <f t="shared" si="1"/>
        <v>1.2825147306262372</v>
      </c>
      <c r="J55" s="11">
        <f>(SUM(G56:$G$79)*$I$1)</f>
        <v>0.23372095368761292</v>
      </c>
      <c r="K55" s="11">
        <f t="shared" si="6"/>
        <v>-0.17352500187482961</v>
      </c>
      <c r="Q55" s="65">
        <v>51</v>
      </c>
      <c r="R55" s="66">
        <f>Inputs!H58</f>
        <v>2.3019999999999998E-3</v>
      </c>
    </row>
    <row r="56" spans="1:18" x14ac:dyDescent="0.25">
      <c r="A56">
        <f t="shared" si="2"/>
        <v>112</v>
      </c>
      <c r="B56">
        <v>52</v>
      </c>
      <c r="C56" s="12">
        <f t="shared" si="3"/>
        <v>0.4</v>
      </c>
      <c r="D56" s="10">
        <f t="shared" si="4"/>
        <v>0.6</v>
      </c>
      <c r="E56" s="198">
        <f>IF(B56&lt;=$C$2,1,IF(B56=$C$2+1,PRODUCT($D$5:D56),E55*D56))</f>
        <v>1.5390176767514848E-4</v>
      </c>
      <c r="F56" s="10">
        <f t="shared" si="0"/>
        <v>0.13009672275632339</v>
      </c>
      <c r="G56" s="10">
        <f t="shared" si="5"/>
        <v>2.0022115600941884E-5</v>
      </c>
      <c r="I56" s="13">
        <f t="shared" si="1"/>
        <v>0.76950883837574247</v>
      </c>
      <c r="J56" s="11">
        <f>(SUM(G57:$G$79)*$I$1)</f>
        <v>0.13361037568290351</v>
      </c>
      <c r="K56" s="11">
        <f t="shared" si="6"/>
        <v>-0.10011057800470941</v>
      </c>
      <c r="Q56" s="65">
        <v>52</v>
      </c>
      <c r="R56" s="66">
        <f>Inputs!H59</f>
        <v>2.545E-3</v>
      </c>
    </row>
    <row r="57" spans="1:18" x14ac:dyDescent="0.25">
      <c r="A57">
        <f t="shared" si="2"/>
        <v>113</v>
      </c>
      <c r="B57">
        <v>53</v>
      </c>
      <c r="C57" s="12">
        <f t="shared" si="3"/>
        <v>0.4</v>
      </c>
      <c r="D57" s="10">
        <f t="shared" si="4"/>
        <v>0.6</v>
      </c>
      <c r="E57" s="198">
        <f>IF(B57&lt;=$C$2,1,IF(B57=$C$2+1,PRODUCT($D$5:D57),E56*D57))</f>
        <v>9.2341060605089092E-5</v>
      </c>
      <c r="F57" s="10">
        <f t="shared" si="0"/>
        <v>0.12509300265031092</v>
      </c>
      <c r="G57" s="10">
        <f t="shared" si="5"/>
        <v>1.1551220539004932E-5</v>
      </c>
      <c r="I57" s="13">
        <f t="shared" si="1"/>
        <v>0.46170530302544543</v>
      </c>
      <c r="J57" s="11">
        <f>(SUM(G58:$G$79)*$I$1)</f>
        <v>7.5854272987878849E-2</v>
      </c>
      <c r="K57" s="11">
        <f t="shared" si="6"/>
        <v>-5.7756102695024666E-2</v>
      </c>
      <c r="Q57" s="65">
        <v>53</v>
      </c>
      <c r="R57" s="66">
        <f>Inputs!H60</f>
        <v>2.7789999999999998E-3</v>
      </c>
    </row>
    <row r="58" spans="1:18" x14ac:dyDescent="0.25">
      <c r="A58">
        <f t="shared" si="2"/>
        <v>114</v>
      </c>
      <c r="B58">
        <v>54</v>
      </c>
      <c r="C58" s="12">
        <f t="shared" si="3"/>
        <v>0.4</v>
      </c>
      <c r="D58" s="10">
        <f t="shared" si="4"/>
        <v>0.6</v>
      </c>
      <c r="E58" s="198">
        <f>IF(B58&lt;=$C$2,1,IF(B58=$C$2+1,PRODUCT($D$5:D58),E57*D58))</f>
        <v>5.5404636363053452E-5</v>
      </c>
      <c r="F58" s="10">
        <f t="shared" si="0"/>
        <v>0.12028173331760666</v>
      </c>
      <c r="G58" s="10">
        <f t="shared" si="5"/>
        <v>6.6641656955797681E-6</v>
      </c>
      <c r="I58" s="13">
        <f t="shared" si="1"/>
        <v>0.27702318181526725</v>
      </c>
      <c r="J58" s="11">
        <f>(SUM(G59:$G$79)*$I$1)</f>
        <v>4.2533444509980013E-2</v>
      </c>
      <c r="K58" s="11">
        <f t="shared" si="6"/>
        <v>-3.3320828477898835E-2</v>
      </c>
      <c r="Q58" s="65">
        <v>54</v>
      </c>
      <c r="R58" s="66">
        <f>Inputs!H61</f>
        <v>3.0109999999999998E-3</v>
      </c>
    </row>
    <row r="59" spans="1:18" x14ac:dyDescent="0.25">
      <c r="A59">
        <f t="shared" si="2"/>
        <v>115</v>
      </c>
      <c r="B59">
        <v>55</v>
      </c>
      <c r="C59" s="12">
        <f t="shared" si="3"/>
        <v>0.4</v>
      </c>
      <c r="D59" s="10">
        <f t="shared" si="4"/>
        <v>0.6</v>
      </c>
      <c r="E59" s="198">
        <f>IF(B59&lt;=$C$2,1,IF(B59=$C$2+1,PRODUCT($D$5:D59),E58*D59))</f>
        <v>3.324278181783207E-5</v>
      </c>
      <c r="F59" s="10">
        <f t="shared" si="0"/>
        <v>0.11565551280539103</v>
      </c>
      <c r="G59" s="10">
        <f t="shared" si="5"/>
        <v>3.8447109782190974E-6</v>
      </c>
      <c r="I59" s="13">
        <f t="shared" si="1"/>
        <v>0.16621390908916034</v>
      </c>
      <c r="J59" s="11">
        <f>(SUM(G60:$G$79)*$I$1)</f>
        <v>2.3309889618884524E-2</v>
      </c>
      <c r="K59" s="11">
        <f t="shared" si="6"/>
        <v>-1.9223554891095489E-2</v>
      </c>
      <c r="Q59" s="65">
        <v>55</v>
      </c>
      <c r="R59" s="66">
        <f>Inputs!H62</f>
        <v>3.2539999999999999E-3</v>
      </c>
    </row>
    <row r="60" spans="1:18" x14ac:dyDescent="0.25">
      <c r="A60">
        <f t="shared" si="2"/>
        <v>116</v>
      </c>
      <c r="B60">
        <v>56</v>
      </c>
      <c r="C60" s="12">
        <f t="shared" si="3"/>
        <v>0.4</v>
      </c>
      <c r="D60" s="10">
        <f t="shared" si="4"/>
        <v>0.6</v>
      </c>
      <c r="E60" s="198">
        <f>IF(B60&lt;=$C$2,1,IF(B60=$C$2+1,PRODUCT($D$5:D60),E59*D60))</f>
        <v>1.9945669090699241E-5</v>
      </c>
      <c r="F60" s="10">
        <f t="shared" si="0"/>
        <v>0.11120722385133754</v>
      </c>
      <c r="G60" s="10">
        <f t="shared" si="5"/>
        <v>2.2181024874340944E-6</v>
      </c>
      <c r="I60" s="13">
        <f t="shared" si="1"/>
        <v>9.9728345453496209E-2</v>
      </c>
      <c r="J60" s="11">
        <f>(SUM(G61:$G$79)*$I$1)</f>
        <v>1.2219377181714048E-2</v>
      </c>
      <c r="K60" s="11">
        <f t="shared" si="6"/>
        <v>-1.1090512437170475E-2</v>
      </c>
      <c r="Q60" s="65">
        <v>56</v>
      </c>
      <c r="R60" s="66">
        <f>Inputs!H63</f>
        <v>3.529E-3</v>
      </c>
    </row>
    <row r="61" spans="1:18" x14ac:dyDescent="0.25">
      <c r="A61">
        <f t="shared" si="2"/>
        <v>117</v>
      </c>
      <c r="B61">
        <v>57</v>
      </c>
      <c r="C61" s="12">
        <f t="shared" si="3"/>
        <v>0.4</v>
      </c>
      <c r="D61" s="10">
        <f t="shared" si="4"/>
        <v>0.6</v>
      </c>
      <c r="E61" s="198">
        <f>IF(B61&lt;=$C$2,1,IF(B61=$C$2+1,PRODUCT($D$5:D61),E60*D61))</f>
        <v>1.1967401454419543E-5</v>
      </c>
      <c r="F61" s="10">
        <f t="shared" si="0"/>
        <v>0.10693002293397837</v>
      </c>
      <c r="G61" s="10">
        <f t="shared" si="5"/>
        <v>1.2796745119812078E-6</v>
      </c>
      <c r="I61" s="13">
        <f t="shared" si="1"/>
        <v>5.9837007272097717E-2</v>
      </c>
      <c r="J61" s="11">
        <f>(SUM(G62:$G$79)*$I$1)</f>
        <v>5.8210046218080099E-3</v>
      </c>
      <c r="K61" s="11">
        <f t="shared" si="6"/>
        <v>-6.3983725599060385E-3</v>
      </c>
      <c r="Q61" s="65">
        <v>57</v>
      </c>
      <c r="R61" s="66">
        <f>Inputs!H64</f>
        <v>3.8449999999999999E-3</v>
      </c>
    </row>
    <row r="62" spans="1:18" x14ac:dyDescent="0.25">
      <c r="A62">
        <f t="shared" si="2"/>
        <v>118</v>
      </c>
      <c r="B62">
        <v>58</v>
      </c>
      <c r="C62" s="12">
        <f t="shared" si="3"/>
        <v>0.4</v>
      </c>
      <c r="D62" s="10">
        <f t="shared" si="4"/>
        <v>0.6</v>
      </c>
      <c r="E62" s="198">
        <f>IF(B62&lt;=$C$2,1,IF(B62=$C$2+1,PRODUCT($D$5:D62),E61*D62))</f>
        <v>7.1804408726517257E-6</v>
      </c>
      <c r="F62" s="10">
        <f t="shared" si="0"/>
        <v>0.10281732974420998</v>
      </c>
      <c r="G62" s="10">
        <f t="shared" si="5"/>
        <v>7.382737569122354E-7</v>
      </c>
      <c r="I62" s="13">
        <f t="shared" si="1"/>
        <v>3.5902204363258632E-2</v>
      </c>
      <c r="J62" s="11">
        <f>(SUM(G63:$G$79)*$I$1)</f>
        <v>2.1296358372468326E-3</v>
      </c>
      <c r="K62" s="11">
        <f t="shared" si="6"/>
        <v>-3.6913687845611773E-3</v>
      </c>
      <c r="Q62" s="65">
        <v>58</v>
      </c>
      <c r="R62" s="66">
        <f>Inputs!H65</f>
        <v>4.2129999999999997E-3</v>
      </c>
    </row>
    <row r="63" spans="1:18" x14ac:dyDescent="0.25">
      <c r="A63">
        <f t="shared" si="2"/>
        <v>119</v>
      </c>
      <c r="B63">
        <v>59</v>
      </c>
      <c r="C63" s="12">
        <f t="shared" si="3"/>
        <v>0.4</v>
      </c>
      <c r="D63" s="10">
        <f t="shared" si="4"/>
        <v>0.6</v>
      </c>
      <c r="E63" s="198">
        <f>IF(B63&lt;=$C$2,1,IF(B63=$C$2+1,PRODUCT($D$5:D63),E62*D63))</f>
        <v>4.3082645235910351E-6</v>
      </c>
      <c r="F63" s="10">
        <f t="shared" si="0"/>
        <v>9.8862817061740368E-2</v>
      </c>
      <c r="G63" s="10">
        <f t="shared" si="5"/>
        <v>4.2592716744936654E-7</v>
      </c>
      <c r="I63" s="13">
        <f t="shared" si="1"/>
        <v>2.1541322617955175E-2</v>
      </c>
      <c r="J63" s="11">
        <f>(SUM(G64:$G$79)*$I$1)</f>
        <v>0</v>
      </c>
      <c r="K63" s="11">
        <f t="shared" si="6"/>
        <v>-2.1296358372468326E-3</v>
      </c>
      <c r="Q63" s="65">
        <v>59</v>
      </c>
      <c r="R63" s="66">
        <f>Inputs!H66</f>
        <v>4.6309999999999997E-3</v>
      </c>
    </row>
    <row r="64" spans="1:18" x14ac:dyDescent="0.25">
      <c r="A64">
        <f t="shared" si="2"/>
        <v>120</v>
      </c>
      <c r="B64">
        <v>60</v>
      </c>
      <c r="C64" s="12">
        <f t="shared" si="3"/>
        <v>1</v>
      </c>
      <c r="D64" s="10">
        <f t="shared" si="4"/>
        <v>0</v>
      </c>
      <c r="E64" s="198">
        <f>IF(B64&lt;=$C$2,1,IF(B64=$C$2+1,PRODUCT($D$5:D64),E63*D64))</f>
        <v>0</v>
      </c>
      <c r="F64" s="10">
        <f t="shared" si="0"/>
        <v>0</v>
      </c>
      <c r="G64" s="10">
        <f t="shared" si="5"/>
        <v>0</v>
      </c>
      <c r="I64" s="13">
        <f t="shared" si="1"/>
        <v>0</v>
      </c>
      <c r="J64" s="11">
        <f>(SUM(G65:$G$79)*$I$1)</f>
        <v>0</v>
      </c>
      <c r="K64" s="11">
        <f t="shared" si="6"/>
        <v>0</v>
      </c>
      <c r="Q64" s="65">
        <v>60</v>
      </c>
      <c r="R64" s="66">
        <f>Inputs!H67</f>
        <v>5.0959999999999998E-3</v>
      </c>
    </row>
    <row r="65" spans="3:18" x14ac:dyDescent="0.25">
      <c r="C65" s="12"/>
      <c r="D65" s="10"/>
      <c r="E65" s="10"/>
      <c r="F65" s="10"/>
      <c r="G65" s="10"/>
      <c r="I65" s="13"/>
      <c r="J65" s="11"/>
      <c r="K65" s="11"/>
      <c r="Q65" s="65">
        <v>61</v>
      </c>
      <c r="R65" s="66">
        <f>Inputs!H68</f>
        <v>5.6140000000000001E-3</v>
      </c>
    </row>
    <row r="66" spans="3:18" x14ac:dyDescent="0.25">
      <c r="C66" s="12"/>
      <c r="D66" s="10"/>
      <c r="E66" s="10"/>
      <c r="F66" s="10"/>
      <c r="G66" s="10"/>
      <c r="I66" s="13"/>
      <c r="J66" s="11"/>
      <c r="K66" s="11"/>
      <c r="Q66" s="65">
        <v>62</v>
      </c>
      <c r="R66" s="66">
        <f>Inputs!H69</f>
        <v>6.169E-3</v>
      </c>
    </row>
    <row r="67" spans="3:18" x14ac:dyDescent="0.25">
      <c r="C67" s="12"/>
      <c r="D67" s="10"/>
      <c r="E67" s="10"/>
      <c r="F67" s="10"/>
      <c r="G67" s="10"/>
      <c r="I67" s="13"/>
      <c r="J67" s="11"/>
      <c r="K67" s="11"/>
      <c r="Q67" s="65">
        <v>63</v>
      </c>
      <c r="R67" s="66">
        <f>Inputs!H70</f>
        <v>6.7590000000000003E-3</v>
      </c>
    </row>
    <row r="68" spans="3:18" x14ac:dyDescent="0.25">
      <c r="C68" s="12"/>
      <c r="D68" s="10"/>
      <c r="E68" s="10"/>
      <c r="F68" s="10"/>
      <c r="G68" s="10"/>
      <c r="I68" s="13"/>
      <c r="J68" s="11"/>
      <c r="K68" s="11"/>
      <c r="Q68" s="65">
        <v>64</v>
      </c>
      <c r="R68" s="66">
        <f>Inputs!H71</f>
        <v>7.3980000000000001E-3</v>
      </c>
    </row>
    <row r="69" spans="3:18" x14ac:dyDescent="0.25">
      <c r="C69" s="12"/>
      <c r="D69" s="10"/>
      <c r="E69" s="10"/>
      <c r="F69" s="10"/>
      <c r="G69" s="10"/>
      <c r="I69" s="13"/>
      <c r="J69" s="11"/>
      <c r="K69" s="11"/>
      <c r="Q69" s="65">
        <v>65</v>
      </c>
      <c r="R69" s="66">
        <f>Inputs!H72</f>
        <v>8.1060000000000004E-3</v>
      </c>
    </row>
    <row r="70" spans="3:18" x14ac:dyDescent="0.25">
      <c r="C70" s="12"/>
      <c r="D70" s="10"/>
      <c r="E70" s="10"/>
      <c r="F70" s="10"/>
      <c r="G70" s="10"/>
      <c r="I70" s="13"/>
      <c r="J70" s="11"/>
      <c r="K70" s="11"/>
      <c r="Q70" s="65">
        <v>66</v>
      </c>
      <c r="R70" s="66">
        <f>Inputs!H73</f>
        <v>8.548E-3</v>
      </c>
    </row>
    <row r="71" spans="3:18" x14ac:dyDescent="0.25">
      <c r="C71" s="12"/>
      <c r="D71" s="10"/>
      <c r="E71" s="10"/>
      <c r="F71" s="10"/>
      <c r="G71" s="10"/>
      <c r="I71" s="13"/>
      <c r="J71" s="11"/>
      <c r="K71" s="11"/>
      <c r="Q71" s="65">
        <v>67</v>
      </c>
      <c r="R71" s="66">
        <f>Inputs!H74</f>
        <v>9.0760000000000007E-3</v>
      </c>
    </row>
    <row r="72" spans="3:18" x14ac:dyDescent="0.25">
      <c r="C72" s="12"/>
      <c r="D72" s="10"/>
      <c r="E72" s="10"/>
      <c r="F72" s="10"/>
      <c r="G72" s="10"/>
      <c r="I72" s="13"/>
      <c r="J72" s="11"/>
      <c r="K72" s="11"/>
      <c r="Q72" s="65">
        <v>68</v>
      </c>
      <c r="R72" s="66">
        <f>Inputs!H75</f>
        <v>9.7079999999999996E-3</v>
      </c>
    </row>
    <row r="73" spans="3:18" x14ac:dyDescent="0.25">
      <c r="C73" s="12"/>
      <c r="D73" s="10"/>
      <c r="E73" s="10"/>
      <c r="F73" s="10"/>
      <c r="G73" s="10"/>
      <c r="I73" s="13"/>
      <c r="J73" s="11"/>
      <c r="K73" s="11"/>
      <c r="Q73" s="65">
        <v>69</v>
      </c>
      <c r="R73" s="66">
        <f>Inputs!H76</f>
        <v>1.0463E-2</v>
      </c>
    </row>
    <row r="74" spans="3:18" x14ac:dyDescent="0.25">
      <c r="C74" s="12"/>
      <c r="D74" s="10"/>
      <c r="E74" s="10"/>
      <c r="F74" s="10"/>
      <c r="G74" s="10"/>
      <c r="I74" s="13"/>
      <c r="J74" s="11"/>
      <c r="K74" s="11"/>
      <c r="Q74" s="65">
        <v>70</v>
      </c>
      <c r="R74" s="66">
        <f>Inputs!H77</f>
        <v>1.1357000000000001E-2</v>
      </c>
    </row>
    <row r="75" spans="3:18" x14ac:dyDescent="0.25">
      <c r="C75" s="12"/>
      <c r="D75" s="10"/>
      <c r="E75" s="10"/>
      <c r="F75" s="10"/>
      <c r="G75" s="10"/>
      <c r="I75" s="13"/>
      <c r="J75" s="11"/>
      <c r="K75" s="11"/>
      <c r="Q75" s="65">
        <v>71</v>
      </c>
      <c r="R75" s="66">
        <f>Inputs!H78</f>
        <v>1.2418E-2</v>
      </c>
    </row>
    <row r="76" spans="3:18" x14ac:dyDescent="0.25">
      <c r="C76" s="12"/>
      <c r="D76" s="10"/>
      <c r="E76" s="10"/>
      <c r="F76" s="10"/>
      <c r="G76" s="10"/>
      <c r="I76" s="13"/>
      <c r="J76" s="11"/>
      <c r="K76" s="11"/>
      <c r="Q76" s="65">
        <v>72</v>
      </c>
      <c r="R76" s="66">
        <f>Inputs!H79</f>
        <v>1.3675E-2</v>
      </c>
    </row>
    <row r="77" spans="3:18" x14ac:dyDescent="0.25">
      <c r="C77" s="12"/>
      <c r="D77" s="10"/>
      <c r="E77" s="10"/>
      <c r="F77" s="10"/>
      <c r="G77" s="10"/>
      <c r="I77" s="13"/>
      <c r="J77" s="11"/>
      <c r="K77" s="11"/>
      <c r="Q77" s="65">
        <v>73</v>
      </c>
      <c r="R77" s="66">
        <f>Inputs!H80</f>
        <v>1.515E-2</v>
      </c>
    </row>
    <row r="78" spans="3:18" x14ac:dyDescent="0.25">
      <c r="C78" s="12"/>
      <c r="D78" s="10"/>
      <c r="E78" s="10"/>
      <c r="F78" s="10"/>
      <c r="G78" s="10"/>
      <c r="I78" s="13"/>
      <c r="J78" s="11"/>
      <c r="K78" s="11"/>
      <c r="Q78" s="65">
        <v>74</v>
      </c>
      <c r="R78" s="66">
        <f>Inputs!H81</f>
        <v>1.686E-2</v>
      </c>
    </row>
    <row r="79" spans="3:18" x14ac:dyDescent="0.25">
      <c r="C79" s="12"/>
      <c r="D79" s="10"/>
      <c r="E79" s="10"/>
      <c r="F79" s="10"/>
      <c r="G79" s="10"/>
      <c r="I79" s="13"/>
      <c r="J79" s="11"/>
      <c r="K79" s="11"/>
      <c r="Q79" s="65">
        <v>75</v>
      </c>
      <c r="R79" s="66">
        <f>Inputs!H82</f>
        <v>1.8814999999999998E-2</v>
      </c>
    </row>
    <row r="80" spans="3:18" x14ac:dyDescent="0.25">
      <c r="C80" s="25"/>
      <c r="Q80" s="65">
        <v>76</v>
      </c>
      <c r="R80" s="66">
        <f>Inputs!H83</f>
        <v>2.1031000000000001E-2</v>
      </c>
    </row>
    <row r="81" spans="3:18" x14ac:dyDescent="0.25">
      <c r="C81" s="25"/>
      <c r="Q81" s="65">
        <v>77</v>
      </c>
      <c r="R81" s="66">
        <f>Inputs!H84</f>
        <v>2.3539999999999998E-2</v>
      </c>
    </row>
    <row r="82" spans="3:18" x14ac:dyDescent="0.25">
      <c r="C82" s="25"/>
      <c r="Q82" s="65">
        <v>78</v>
      </c>
      <c r="R82" s="66">
        <f>Inputs!H85</f>
        <v>2.6374999999999999E-2</v>
      </c>
    </row>
    <row r="83" spans="3:18" x14ac:dyDescent="0.25">
      <c r="C83" s="25"/>
      <c r="Q83" s="65">
        <v>79</v>
      </c>
      <c r="R83" s="66">
        <f>Inputs!H86</f>
        <v>2.9572000000000001E-2</v>
      </c>
    </row>
    <row r="84" spans="3:18" x14ac:dyDescent="0.25">
      <c r="C84" s="25"/>
      <c r="Q84" s="65">
        <v>80</v>
      </c>
      <c r="R84" s="66">
        <f>Inputs!H87</f>
        <v>3.3234E-2</v>
      </c>
    </row>
    <row r="85" spans="3:18" x14ac:dyDescent="0.25">
      <c r="C85" s="25"/>
      <c r="Q85" s="65">
        <v>81</v>
      </c>
      <c r="R85" s="66">
        <f>Inputs!H88</f>
        <v>3.7532999999999997E-2</v>
      </c>
    </row>
    <row r="86" spans="3:18" x14ac:dyDescent="0.25">
      <c r="C86" s="25"/>
      <c r="Q86" s="65">
        <v>82</v>
      </c>
      <c r="R86" s="66">
        <f>Inputs!H89</f>
        <v>4.2261E-2</v>
      </c>
    </row>
    <row r="87" spans="3:18" x14ac:dyDescent="0.25">
      <c r="C87" s="25"/>
      <c r="Q87" s="65">
        <v>83</v>
      </c>
      <c r="R87" s="66">
        <f>Inputs!H90</f>
        <v>4.7440999999999997E-2</v>
      </c>
    </row>
    <row r="88" spans="3:18" x14ac:dyDescent="0.25">
      <c r="C88" s="25"/>
      <c r="Q88" s="65">
        <v>84</v>
      </c>
      <c r="R88" s="66">
        <f>Inputs!H91</f>
        <v>5.3233000000000003E-2</v>
      </c>
    </row>
    <row r="89" spans="3:18" x14ac:dyDescent="0.25">
      <c r="C89" s="25"/>
      <c r="Q89" s="65">
        <v>85</v>
      </c>
      <c r="R89" s="66">
        <f>Inputs!H92</f>
        <v>5.9854999999999998E-2</v>
      </c>
    </row>
    <row r="90" spans="3:18" x14ac:dyDescent="0.25">
      <c r="C90" s="25"/>
      <c r="Q90" s="65">
        <v>86</v>
      </c>
      <c r="R90" s="66">
        <f>Inputs!H93</f>
        <v>6.7514000000000005E-2</v>
      </c>
    </row>
    <row r="91" spans="3:18" x14ac:dyDescent="0.25">
      <c r="C91" s="25"/>
      <c r="Q91" s="65">
        <v>87</v>
      </c>
      <c r="R91" s="66">
        <f>Inputs!H94</f>
        <v>7.6340000000000005E-2</v>
      </c>
    </row>
    <row r="92" spans="3:18" x14ac:dyDescent="0.25">
      <c r="C92" s="25"/>
      <c r="Q92" s="65">
        <v>88</v>
      </c>
      <c r="R92" s="66">
        <f>Inputs!H95</f>
        <v>8.6388000000000006E-2</v>
      </c>
    </row>
    <row r="93" spans="3:18" x14ac:dyDescent="0.25">
      <c r="C93" s="25"/>
      <c r="Q93" s="65">
        <v>89</v>
      </c>
      <c r="R93" s="66">
        <f>Inputs!H96</f>
        <v>9.7633999999999999E-2</v>
      </c>
    </row>
    <row r="94" spans="3:18" x14ac:dyDescent="0.25">
      <c r="C94" s="25"/>
      <c r="Q94" s="65">
        <v>90</v>
      </c>
      <c r="R94" s="66">
        <f>Inputs!H97</f>
        <v>0.10999299999999999</v>
      </c>
    </row>
    <row r="95" spans="3:18" x14ac:dyDescent="0.25">
      <c r="C95" s="25"/>
      <c r="Q95" s="65">
        <v>91</v>
      </c>
      <c r="R95" s="66">
        <f>Inputs!H98</f>
        <v>0.12311900000000001</v>
      </c>
    </row>
    <row r="96" spans="3:18" x14ac:dyDescent="0.25">
      <c r="C96" s="25"/>
      <c r="Q96" s="65">
        <v>92</v>
      </c>
      <c r="R96" s="66">
        <f>Inputs!H99</f>
        <v>0.13716800000000001</v>
      </c>
    </row>
    <row r="97" spans="3:18" x14ac:dyDescent="0.25">
      <c r="C97" s="25"/>
      <c r="Q97" s="65">
        <v>93</v>
      </c>
      <c r="R97" s="66">
        <f>Inputs!H100</f>
        <v>0.152171</v>
      </c>
    </row>
    <row r="98" spans="3:18" x14ac:dyDescent="0.25">
      <c r="C98" s="25"/>
      <c r="Q98" s="65">
        <v>94</v>
      </c>
      <c r="R98" s="66">
        <f>Inputs!H101</f>
        <v>0.16819400000000001</v>
      </c>
    </row>
    <row r="99" spans="3:18" x14ac:dyDescent="0.25">
      <c r="C99" s="25"/>
      <c r="Q99" s="65">
        <v>95</v>
      </c>
      <c r="R99" s="66">
        <f>Inputs!H102</f>
        <v>0.18526000000000001</v>
      </c>
    </row>
    <row r="100" spans="3:18" x14ac:dyDescent="0.25">
      <c r="C100" s="25"/>
      <c r="Q100" s="65">
        <v>96</v>
      </c>
      <c r="R100" s="66">
        <f>Inputs!H103</f>
        <v>0.197322</v>
      </c>
    </row>
    <row r="101" spans="3:18" x14ac:dyDescent="0.25">
      <c r="C101" s="25"/>
      <c r="Q101" s="65">
        <v>97</v>
      </c>
      <c r="R101" s="66">
        <f>Inputs!H104</f>
        <v>0.214751</v>
      </c>
    </row>
    <row r="102" spans="3:18" x14ac:dyDescent="0.25">
      <c r="C102" s="25"/>
      <c r="Q102" s="65">
        <v>98</v>
      </c>
      <c r="R102" s="66">
        <f>Inputs!H105</f>
        <v>0.23250699999999999</v>
      </c>
    </row>
    <row r="103" spans="3:18" x14ac:dyDescent="0.25">
      <c r="C103" s="25"/>
      <c r="Q103" s="65">
        <v>99</v>
      </c>
      <c r="R103" s="66">
        <f>Inputs!H106</f>
        <v>0.25039699999999998</v>
      </c>
    </row>
    <row r="104" spans="3:18" x14ac:dyDescent="0.25">
      <c r="C104" s="25"/>
      <c r="Q104" s="65">
        <v>100</v>
      </c>
      <c r="R104" s="66">
        <f>Inputs!H107</f>
        <v>0.26860699999999998</v>
      </c>
    </row>
    <row r="105" spans="3:18" x14ac:dyDescent="0.25">
      <c r="C105" s="25"/>
      <c r="Q105" s="65">
        <v>101</v>
      </c>
      <c r="R105" s="66">
        <f>Inputs!H108</f>
        <v>0.290016</v>
      </c>
    </row>
    <row r="106" spans="3:18" x14ac:dyDescent="0.25">
      <c r="C106" s="25"/>
      <c r="Q106" s="65">
        <v>102</v>
      </c>
      <c r="R106" s="66">
        <f>Inputs!H109</f>
        <v>0.31184899999999999</v>
      </c>
    </row>
    <row r="107" spans="3:18" x14ac:dyDescent="0.25">
      <c r="C107" s="25"/>
      <c r="Q107" s="65">
        <v>103</v>
      </c>
      <c r="R107" s="66">
        <f>Inputs!H110</f>
        <v>0.33396199999999998</v>
      </c>
    </row>
    <row r="108" spans="3:18" x14ac:dyDescent="0.25">
      <c r="C108" s="25"/>
      <c r="Q108" s="65">
        <v>104</v>
      </c>
      <c r="R108" s="66">
        <f>Inputs!H111</f>
        <v>0.356207</v>
      </c>
    </row>
    <row r="109" spans="3:18" x14ac:dyDescent="0.25">
      <c r="C109" s="25"/>
      <c r="Q109" s="65">
        <v>105</v>
      </c>
      <c r="R109" s="66">
        <f>Inputs!H112</f>
        <v>0.38</v>
      </c>
    </row>
    <row r="110" spans="3:18" x14ac:dyDescent="0.25">
      <c r="C110" s="25"/>
      <c r="Q110" s="65">
        <v>106</v>
      </c>
      <c r="R110" s="66">
        <f>Inputs!H113</f>
        <v>0.4</v>
      </c>
    </row>
    <row r="111" spans="3:18" x14ac:dyDescent="0.25">
      <c r="C111" s="25"/>
      <c r="Q111" s="65">
        <v>107</v>
      </c>
      <c r="R111" s="66">
        <f>Inputs!H114</f>
        <v>0.4</v>
      </c>
    </row>
    <row r="112" spans="3:18" x14ac:dyDescent="0.25">
      <c r="C112" s="25"/>
      <c r="Q112" s="65">
        <v>108</v>
      </c>
      <c r="R112" s="66">
        <f>Inputs!H115</f>
        <v>0.4</v>
      </c>
    </row>
    <row r="113" spans="3:18" x14ac:dyDescent="0.25">
      <c r="C113" s="25"/>
      <c r="Q113" s="65">
        <v>109</v>
      </c>
      <c r="R113" s="66">
        <f>Inputs!H116</f>
        <v>0.4</v>
      </c>
    </row>
    <row r="114" spans="3:18" x14ac:dyDescent="0.25">
      <c r="C114" s="25"/>
      <c r="Q114" s="65">
        <v>110</v>
      </c>
      <c r="R114" s="66">
        <f>Inputs!H117</f>
        <v>0.4</v>
      </c>
    </row>
    <row r="115" spans="3:18" x14ac:dyDescent="0.25">
      <c r="C115" s="25"/>
      <c r="Q115" s="65">
        <v>111</v>
      </c>
      <c r="R115" s="66">
        <f>Inputs!H118</f>
        <v>0.4</v>
      </c>
    </row>
    <row r="116" spans="3:18" x14ac:dyDescent="0.25">
      <c r="C116" s="25"/>
      <c r="Q116" s="65">
        <v>112</v>
      </c>
      <c r="R116" s="66">
        <f>Inputs!H119</f>
        <v>0.4</v>
      </c>
    </row>
    <row r="117" spans="3:18" x14ac:dyDescent="0.25">
      <c r="C117" s="25"/>
      <c r="Q117" s="65">
        <v>113</v>
      </c>
      <c r="R117" s="66">
        <f>Inputs!H120</f>
        <v>0.4</v>
      </c>
    </row>
    <row r="118" spans="3:18" x14ac:dyDescent="0.25">
      <c r="C118" s="25"/>
      <c r="Q118" s="65">
        <v>114</v>
      </c>
      <c r="R118" s="66">
        <f>Inputs!H121</f>
        <v>0.4</v>
      </c>
    </row>
    <row r="119" spans="3:18" x14ac:dyDescent="0.25">
      <c r="C119" s="25"/>
      <c r="Q119" s="65">
        <v>115</v>
      </c>
      <c r="R119" s="66">
        <f>Inputs!H122</f>
        <v>0.4</v>
      </c>
    </row>
    <row r="120" spans="3:18" x14ac:dyDescent="0.25">
      <c r="C120" s="25"/>
      <c r="Q120" s="65">
        <v>116</v>
      </c>
      <c r="R120" s="66">
        <f>Inputs!H123</f>
        <v>0.4</v>
      </c>
    </row>
    <row r="121" spans="3:18" x14ac:dyDescent="0.25">
      <c r="C121" s="25"/>
      <c r="Q121" s="65">
        <v>117</v>
      </c>
      <c r="R121" s="66">
        <f>Inputs!H124</f>
        <v>0.4</v>
      </c>
    </row>
    <row r="122" spans="3:18" x14ac:dyDescent="0.25">
      <c r="C122" s="25"/>
      <c r="Q122" s="65">
        <v>118</v>
      </c>
      <c r="R122" s="66">
        <f>Inputs!H125</f>
        <v>0.4</v>
      </c>
    </row>
    <row r="123" spans="3:18" x14ac:dyDescent="0.25">
      <c r="C123" s="25"/>
      <c r="Q123" s="65">
        <v>119</v>
      </c>
      <c r="R123" s="66">
        <f>Inputs!H126</f>
        <v>0.4</v>
      </c>
    </row>
    <row r="124" spans="3:18" ht="15.75" thickBot="1" x14ac:dyDescent="0.3">
      <c r="C124" s="25"/>
      <c r="Q124" s="67">
        <v>120</v>
      </c>
      <c r="R124" s="66">
        <f>Inputs!H127</f>
        <v>1</v>
      </c>
    </row>
    <row r="125" spans="3:18" x14ac:dyDescent="0.25">
      <c r="C125" s="25"/>
    </row>
    <row r="126" spans="3:18" x14ac:dyDescent="0.25">
      <c r="D126" s="35"/>
      <c r="E126" s="35"/>
    </row>
    <row r="127" spans="3:18" x14ac:dyDescent="0.25">
      <c r="D127" s="35"/>
      <c r="E127" s="35"/>
    </row>
    <row r="128" spans="3:18" x14ac:dyDescent="0.25">
      <c r="D128" s="35"/>
      <c r="E128" s="35"/>
    </row>
    <row r="129" spans="3:5" x14ac:dyDescent="0.25">
      <c r="D129" s="35"/>
      <c r="E129" s="35"/>
    </row>
    <row r="130" spans="3:5" x14ac:dyDescent="0.25">
      <c r="D130" s="35"/>
      <c r="E130" s="35"/>
    </row>
    <row r="131" spans="3:5" x14ac:dyDescent="0.25">
      <c r="D131" s="35"/>
      <c r="E131" s="35"/>
    </row>
    <row r="132" spans="3:5" x14ac:dyDescent="0.25">
      <c r="D132" s="35"/>
      <c r="E132" s="35"/>
    </row>
    <row r="134" spans="3:5" x14ac:dyDescent="0.25">
      <c r="C134" s="25"/>
    </row>
    <row r="135" spans="3:5" x14ac:dyDescent="0.25">
      <c r="C135" s="25"/>
    </row>
    <row r="136" spans="3:5" x14ac:dyDescent="0.25">
      <c r="C136" s="25"/>
    </row>
    <row r="137" spans="3:5" x14ac:dyDescent="0.25">
      <c r="C137" s="25"/>
    </row>
    <row r="138" spans="3:5" x14ac:dyDescent="0.25">
      <c r="C138" s="25"/>
    </row>
    <row r="139" spans="3:5" x14ac:dyDescent="0.25">
      <c r="C139" s="25"/>
    </row>
    <row r="140" spans="3:5" x14ac:dyDescent="0.25">
      <c r="C140" s="25"/>
    </row>
    <row r="141" spans="3:5" x14ac:dyDescent="0.25">
      <c r="C141" s="25"/>
    </row>
    <row r="142" spans="3:5" x14ac:dyDescent="0.25">
      <c r="C142" s="25"/>
    </row>
    <row r="143" spans="3:5" x14ac:dyDescent="0.25">
      <c r="C143" s="25"/>
    </row>
    <row r="144" spans="3:5" x14ac:dyDescent="0.25">
      <c r="C144" s="25"/>
    </row>
    <row r="145" spans="3:3" x14ac:dyDescent="0.25">
      <c r="C145" s="25"/>
    </row>
    <row r="146" spans="3:3" x14ac:dyDescent="0.25">
      <c r="C146" s="25"/>
    </row>
    <row r="147" spans="3:3" x14ac:dyDescent="0.25">
      <c r="C147" s="25"/>
    </row>
    <row r="148" spans="3:3" x14ac:dyDescent="0.25">
      <c r="C148" s="25"/>
    </row>
    <row r="149" spans="3:3" x14ac:dyDescent="0.25">
      <c r="C149" s="25"/>
    </row>
    <row r="150" spans="3:3" x14ac:dyDescent="0.25">
      <c r="C150" s="25"/>
    </row>
    <row r="151" spans="3:3" x14ac:dyDescent="0.25">
      <c r="C151" s="25"/>
    </row>
    <row r="152" spans="3:3" x14ac:dyDescent="0.25">
      <c r="C152" s="25"/>
    </row>
    <row r="153" spans="3:3" x14ac:dyDescent="0.25">
      <c r="C153" s="25"/>
    </row>
    <row r="154" spans="3:3" x14ac:dyDescent="0.25">
      <c r="C154" s="25"/>
    </row>
    <row r="155" spans="3:3" x14ac:dyDescent="0.25">
      <c r="C155" s="25"/>
    </row>
    <row r="156" spans="3:3" x14ac:dyDescent="0.25">
      <c r="C156" s="25"/>
    </row>
    <row r="157" spans="3:3" x14ac:dyDescent="0.25">
      <c r="C157" s="25"/>
    </row>
    <row r="158" spans="3:3" x14ac:dyDescent="0.25">
      <c r="C158" s="25"/>
    </row>
    <row r="159" spans="3:3" x14ac:dyDescent="0.25">
      <c r="C159" s="25"/>
    </row>
    <row r="160" spans="3:3" x14ac:dyDescent="0.25">
      <c r="C160" s="25"/>
    </row>
    <row r="161" spans="3:3" x14ac:dyDescent="0.25">
      <c r="C161" s="25"/>
    </row>
    <row r="162" spans="3:3" x14ac:dyDescent="0.25">
      <c r="C162" s="25"/>
    </row>
    <row r="163" spans="3:3" x14ac:dyDescent="0.25">
      <c r="C163" s="25"/>
    </row>
    <row r="164" spans="3:3" x14ac:dyDescent="0.25">
      <c r="C164" s="25"/>
    </row>
    <row r="165" spans="3:3" x14ac:dyDescent="0.25">
      <c r="C165" s="25"/>
    </row>
    <row r="166" spans="3:3" x14ac:dyDescent="0.25">
      <c r="C166" s="25"/>
    </row>
    <row r="167" spans="3:3" x14ac:dyDescent="0.25">
      <c r="C167" s="25"/>
    </row>
    <row r="168" spans="3:3" x14ac:dyDescent="0.25">
      <c r="C168" s="25"/>
    </row>
    <row r="169" spans="3:3" x14ac:dyDescent="0.25">
      <c r="C169" s="25"/>
    </row>
    <row r="170" spans="3:3" x14ac:dyDescent="0.25">
      <c r="C170" s="25"/>
    </row>
    <row r="171" spans="3:3" x14ac:dyDescent="0.25">
      <c r="C171" s="25"/>
    </row>
    <row r="172" spans="3:3" x14ac:dyDescent="0.25">
      <c r="C172" s="25"/>
    </row>
    <row r="173" spans="3:3" x14ac:dyDescent="0.25">
      <c r="C173" s="25"/>
    </row>
    <row r="174" spans="3:3" x14ac:dyDescent="0.25">
      <c r="C174" s="25"/>
    </row>
    <row r="175" spans="3:3" x14ac:dyDescent="0.25">
      <c r="C175" s="25"/>
    </row>
    <row r="176" spans="3:3" x14ac:dyDescent="0.25">
      <c r="C176" s="25"/>
    </row>
    <row r="177" spans="3:3" x14ac:dyDescent="0.25">
      <c r="C177" s="25"/>
    </row>
    <row r="178" spans="3:3" x14ac:dyDescent="0.25">
      <c r="C178" s="25"/>
    </row>
    <row r="179" spans="3:3" x14ac:dyDescent="0.25">
      <c r="C179" s="25"/>
    </row>
    <row r="180" spans="3:3" x14ac:dyDescent="0.25">
      <c r="C180" s="25"/>
    </row>
    <row r="181" spans="3:3" x14ac:dyDescent="0.25">
      <c r="C181" s="25"/>
    </row>
    <row r="182" spans="3:3" x14ac:dyDescent="0.25">
      <c r="C182" s="25"/>
    </row>
    <row r="183" spans="3:3" x14ac:dyDescent="0.25">
      <c r="C183" s="25"/>
    </row>
    <row r="184" spans="3:3" x14ac:dyDescent="0.25">
      <c r="C184" s="25"/>
    </row>
    <row r="185" spans="3:3" x14ac:dyDescent="0.25">
      <c r="C185" s="25"/>
    </row>
    <row r="186" spans="3:3" x14ac:dyDescent="0.25">
      <c r="C186" s="25"/>
    </row>
    <row r="187" spans="3:3" x14ac:dyDescent="0.25">
      <c r="C187" s="25"/>
    </row>
    <row r="188" spans="3:3" x14ac:dyDescent="0.25">
      <c r="C188" s="25"/>
    </row>
    <row r="189" spans="3:3" x14ac:dyDescent="0.25">
      <c r="C189" s="25"/>
    </row>
    <row r="190" spans="3:3" x14ac:dyDescent="0.25">
      <c r="C190" s="25"/>
    </row>
    <row r="191" spans="3:3" x14ac:dyDescent="0.25">
      <c r="C191" s="25"/>
    </row>
    <row r="192" spans="3:3" x14ac:dyDescent="0.25">
      <c r="C192" s="25"/>
    </row>
    <row r="193" spans="3:3" x14ac:dyDescent="0.25">
      <c r="C193" s="25"/>
    </row>
    <row r="194" spans="3:3" x14ac:dyDescent="0.25">
      <c r="C194" s="25"/>
    </row>
    <row r="195" spans="3:3" x14ac:dyDescent="0.25">
      <c r="C195" s="25"/>
    </row>
    <row r="196" spans="3:3" x14ac:dyDescent="0.25">
      <c r="C196" s="25"/>
    </row>
    <row r="197" spans="3:3" x14ac:dyDescent="0.25">
      <c r="C197" s="25"/>
    </row>
    <row r="198" spans="3:3" x14ac:dyDescent="0.25">
      <c r="C198" s="25"/>
    </row>
    <row r="199" spans="3:3" x14ac:dyDescent="0.25">
      <c r="C199" s="25"/>
    </row>
    <row r="200" spans="3:3" x14ac:dyDescent="0.25">
      <c r="C200" s="25"/>
    </row>
    <row r="201" spans="3:3" x14ac:dyDescent="0.25">
      <c r="C201" s="25"/>
    </row>
    <row r="202" spans="3:3" x14ac:dyDescent="0.25">
      <c r="C202" s="25"/>
    </row>
    <row r="203" spans="3:3" x14ac:dyDescent="0.25">
      <c r="C203" s="25"/>
    </row>
    <row r="204" spans="3:3" x14ac:dyDescent="0.25">
      <c r="C204" s="25"/>
    </row>
    <row r="205" spans="3:3" x14ac:dyDescent="0.25">
      <c r="C205" s="25"/>
    </row>
    <row r="206" spans="3:3" x14ac:dyDescent="0.25">
      <c r="C206" s="25"/>
    </row>
    <row r="207" spans="3:3" x14ac:dyDescent="0.25">
      <c r="C207" s="25"/>
    </row>
    <row r="208" spans="3:3" x14ac:dyDescent="0.25">
      <c r="C208" s="25"/>
    </row>
    <row r="209" spans="3:3" x14ac:dyDescent="0.25">
      <c r="C209" s="25"/>
    </row>
    <row r="210" spans="3:3" x14ac:dyDescent="0.25">
      <c r="C210" s="25"/>
    </row>
    <row r="211" spans="3:3" x14ac:dyDescent="0.25">
      <c r="C211" s="25"/>
    </row>
    <row r="212" spans="3:3" x14ac:dyDescent="0.25">
      <c r="C212" s="25"/>
    </row>
    <row r="213" spans="3:3" x14ac:dyDescent="0.25">
      <c r="C213" s="25"/>
    </row>
    <row r="214" spans="3:3" x14ac:dyDescent="0.25">
      <c r="C214" s="25"/>
    </row>
    <row r="215" spans="3:3" x14ac:dyDescent="0.25">
      <c r="C215" s="25"/>
    </row>
    <row r="216" spans="3:3" x14ac:dyDescent="0.25">
      <c r="C216" s="25"/>
    </row>
    <row r="217" spans="3:3" x14ac:dyDescent="0.25">
      <c r="C217" s="25"/>
    </row>
    <row r="218" spans="3:3" x14ac:dyDescent="0.25">
      <c r="C218" s="25"/>
    </row>
    <row r="219" spans="3:3" x14ac:dyDescent="0.25">
      <c r="C219" s="25"/>
    </row>
    <row r="220" spans="3:3" x14ac:dyDescent="0.25">
      <c r="C220" s="25"/>
    </row>
    <row r="221" spans="3:3" x14ac:dyDescent="0.25">
      <c r="C221" s="25"/>
    </row>
    <row r="222" spans="3:3" x14ac:dyDescent="0.25">
      <c r="C222" s="25"/>
    </row>
    <row r="223" spans="3:3" x14ac:dyDescent="0.25">
      <c r="C223" s="25"/>
    </row>
    <row r="224" spans="3:3" x14ac:dyDescent="0.25">
      <c r="C224" s="25"/>
    </row>
    <row r="225" spans="3:3" x14ac:dyDescent="0.25">
      <c r="C225" s="25"/>
    </row>
    <row r="226" spans="3:3" x14ac:dyDescent="0.25">
      <c r="C226" s="25"/>
    </row>
    <row r="227" spans="3:3" x14ac:dyDescent="0.25">
      <c r="C227" s="25"/>
    </row>
    <row r="228" spans="3:3" x14ac:dyDescent="0.25">
      <c r="C228" s="25"/>
    </row>
    <row r="229" spans="3:3" x14ac:dyDescent="0.25">
      <c r="C229" s="25"/>
    </row>
    <row r="230" spans="3:3" x14ac:dyDescent="0.25">
      <c r="C230" s="25"/>
    </row>
    <row r="231" spans="3:3" x14ac:dyDescent="0.25">
      <c r="C231" s="25"/>
    </row>
    <row r="232" spans="3:3" x14ac:dyDescent="0.25">
      <c r="C232" s="25"/>
    </row>
    <row r="233" spans="3:3" x14ac:dyDescent="0.25">
      <c r="C233" s="25"/>
    </row>
    <row r="234" spans="3:3" x14ac:dyDescent="0.25">
      <c r="C234" s="25"/>
    </row>
    <row r="235" spans="3:3" x14ac:dyDescent="0.25">
      <c r="C235" s="25"/>
    </row>
    <row r="236" spans="3:3" x14ac:dyDescent="0.25">
      <c r="C236" s="25"/>
    </row>
    <row r="237" spans="3:3" x14ac:dyDescent="0.25">
      <c r="C237" s="25"/>
    </row>
    <row r="238" spans="3:3" x14ac:dyDescent="0.25">
      <c r="C238" s="25"/>
    </row>
    <row r="239" spans="3:3" x14ac:dyDescent="0.25">
      <c r="C239" s="25"/>
    </row>
    <row r="240" spans="3:3" x14ac:dyDescent="0.25">
      <c r="C240" s="25"/>
    </row>
    <row r="241" spans="3:3" x14ac:dyDescent="0.25">
      <c r="C241" s="25"/>
    </row>
    <row r="242" spans="3:3" x14ac:dyDescent="0.25">
      <c r="C242" s="25"/>
    </row>
    <row r="243" spans="3:3" x14ac:dyDescent="0.25">
      <c r="C243" s="25"/>
    </row>
    <row r="244" spans="3:3" x14ac:dyDescent="0.25">
      <c r="C244" s="25"/>
    </row>
    <row r="245" spans="3:3" x14ac:dyDescent="0.25">
      <c r="C245" s="25"/>
    </row>
    <row r="246" spans="3:3" x14ac:dyDescent="0.25">
      <c r="C246" s="25"/>
    </row>
    <row r="247" spans="3:3" x14ac:dyDescent="0.25">
      <c r="C247" s="25"/>
    </row>
    <row r="248" spans="3:3" x14ac:dyDescent="0.25">
      <c r="C248" s="25"/>
    </row>
    <row r="249" spans="3:3" x14ac:dyDescent="0.25">
      <c r="C249" s="25"/>
    </row>
    <row r="250" spans="3:3" x14ac:dyDescent="0.25">
      <c r="C250" s="25"/>
    </row>
    <row r="251" spans="3:3" x14ac:dyDescent="0.25">
      <c r="C251" s="25"/>
    </row>
    <row r="252" spans="3:3" x14ac:dyDescent="0.25">
      <c r="C252" s="25"/>
    </row>
    <row r="253" spans="3:3" x14ac:dyDescent="0.25">
      <c r="C253" s="25"/>
    </row>
    <row r="254" spans="3:3" x14ac:dyDescent="0.25">
      <c r="C254" s="25"/>
    </row>
    <row r="255" spans="3:3" x14ac:dyDescent="0.25">
      <c r="C255" s="25"/>
    </row>
    <row r="256" spans="3:3" x14ac:dyDescent="0.25">
      <c r="C256" s="25"/>
    </row>
    <row r="257" spans="3:3" x14ac:dyDescent="0.25">
      <c r="C257" s="25"/>
    </row>
    <row r="258" spans="3:3" x14ac:dyDescent="0.25">
      <c r="C258" s="25"/>
    </row>
    <row r="259" spans="3:3" x14ac:dyDescent="0.25">
      <c r="C259" s="25"/>
    </row>
    <row r="260" spans="3:3" x14ac:dyDescent="0.25">
      <c r="C260" s="25"/>
    </row>
    <row r="261" spans="3:3" x14ac:dyDescent="0.25">
      <c r="C261" s="25"/>
    </row>
    <row r="262" spans="3:3" x14ac:dyDescent="0.25">
      <c r="C262" s="25"/>
    </row>
    <row r="263" spans="3:3" x14ac:dyDescent="0.25">
      <c r="C263" s="25"/>
    </row>
    <row r="264" spans="3:3" x14ac:dyDescent="0.25">
      <c r="C264" s="25"/>
    </row>
    <row r="265" spans="3:3" x14ac:dyDescent="0.25">
      <c r="C265" s="25"/>
    </row>
    <row r="266" spans="3:3" x14ac:dyDescent="0.25">
      <c r="C266" s="25"/>
    </row>
    <row r="267" spans="3:3" x14ac:dyDescent="0.25">
      <c r="C267" s="25"/>
    </row>
    <row r="268" spans="3:3" x14ac:dyDescent="0.25">
      <c r="C268" s="25"/>
    </row>
    <row r="269" spans="3:3" x14ac:dyDescent="0.25">
      <c r="C269" s="25"/>
    </row>
    <row r="270" spans="3:3" x14ac:dyDescent="0.25">
      <c r="C270" s="25"/>
    </row>
    <row r="271" spans="3:3" x14ac:dyDescent="0.25">
      <c r="C271" s="25"/>
    </row>
    <row r="272" spans="3:3" x14ac:dyDescent="0.25">
      <c r="C272" s="25"/>
    </row>
    <row r="273" spans="3:3" x14ac:dyDescent="0.25">
      <c r="C273" s="25"/>
    </row>
    <row r="274" spans="3:3" x14ac:dyDescent="0.25">
      <c r="C274" s="25"/>
    </row>
    <row r="275" spans="3:3" x14ac:dyDescent="0.25">
      <c r="C275" s="25"/>
    </row>
    <row r="276" spans="3:3" x14ac:dyDescent="0.25">
      <c r="C276" s="25"/>
    </row>
    <row r="277" spans="3:3" x14ac:dyDescent="0.25">
      <c r="C277" s="25"/>
    </row>
    <row r="278" spans="3:3" x14ac:dyDescent="0.25">
      <c r="C278" s="25"/>
    </row>
    <row r="279" spans="3:3" x14ac:dyDescent="0.25">
      <c r="C279" s="25"/>
    </row>
    <row r="280" spans="3:3" x14ac:dyDescent="0.25">
      <c r="C280" s="25"/>
    </row>
    <row r="281" spans="3:3" x14ac:dyDescent="0.25">
      <c r="C281" s="25"/>
    </row>
    <row r="282" spans="3:3" x14ac:dyDescent="0.25">
      <c r="C282" s="25"/>
    </row>
    <row r="283" spans="3:3" x14ac:dyDescent="0.25">
      <c r="C283" s="25"/>
    </row>
    <row r="284" spans="3:3" x14ac:dyDescent="0.25">
      <c r="C284" s="25"/>
    </row>
    <row r="285" spans="3:3" x14ac:dyDescent="0.25">
      <c r="C285" s="25"/>
    </row>
    <row r="286" spans="3:3" x14ac:dyDescent="0.25">
      <c r="C286" s="25"/>
    </row>
    <row r="287" spans="3:3" x14ac:dyDescent="0.25">
      <c r="C287" s="25"/>
    </row>
    <row r="288" spans="3:3" x14ac:dyDescent="0.25">
      <c r="C288" s="25"/>
    </row>
    <row r="289" spans="3:3" x14ac:dyDescent="0.25">
      <c r="C289" s="25"/>
    </row>
    <row r="290" spans="3:3" x14ac:dyDescent="0.25">
      <c r="C290" s="25"/>
    </row>
    <row r="291" spans="3:3" x14ac:dyDescent="0.25">
      <c r="C291" s="25"/>
    </row>
    <row r="292" spans="3:3" x14ac:dyDescent="0.25">
      <c r="C292" s="25"/>
    </row>
    <row r="293" spans="3:3" x14ac:dyDescent="0.25">
      <c r="C293" s="25"/>
    </row>
    <row r="294" spans="3:3" x14ac:dyDescent="0.25">
      <c r="C294" s="25"/>
    </row>
    <row r="295" spans="3:3" x14ac:dyDescent="0.25">
      <c r="C295" s="25"/>
    </row>
    <row r="296" spans="3:3" x14ac:dyDescent="0.25">
      <c r="C296" s="25"/>
    </row>
    <row r="297" spans="3:3" x14ac:dyDescent="0.25">
      <c r="C297" s="25"/>
    </row>
    <row r="298" spans="3:3" x14ac:dyDescent="0.25">
      <c r="C298" s="25"/>
    </row>
    <row r="299" spans="3:3" x14ac:dyDescent="0.25">
      <c r="C299" s="25"/>
    </row>
    <row r="300" spans="3:3" x14ac:dyDescent="0.25">
      <c r="C300" s="25"/>
    </row>
    <row r="301" spans="3:3" x14ac:dyDescent="0.25">
      <c r="C301" s="25"/>
    </row>
    <row r="302" spans="3:3" x14ac:dyDescent="0.25">
      <c r="C302" s="25"/>
    </row>
    <row r="303" spans="3:3" x14ac:dyDescent="0.25">
      <c r="C303" s="25"/>
    </row>
    <row r="304" spans="3:3" x14ac:dyDescent="0.25">
      <c r="C304" s="25"/>
    </row>
    <row r="305" spans="3:3" x14ac:dyDescent="0.25">
      <c r="C305" s="25"/>
    </row>
    <row r="306" spans="3:3" x14ac:dyDescent="0.25">
      <c r="C306" s="25"/>
    </row>
    <row r="307" spans="3:3" x14ac:dyDescent="0.25">
      <c r="C307" s="25"/>
    </row>
    <row r="308" spans="3:3" x14ac:dyDescent="0.25">
      <c r="C308" s="25"/>
    </row>
    <row r="309" spans="3:3" x14ac:dyDescent="0.25">
      <c r="C309" s="25"/>
    </row>
    <row r="310" spans="3:3" x14ac:dyDescent="0.25">
      <c r="C310" s="25"/>
    </row>
    <row r="311" spans="3:3" x14ac:dyDescent="0.25">
      <c r="C311" s="25"/>
    </row>
    <row r="312" spans="3:3" x14ac:dyDescent="0.25">
      <c r="C312" s="25"/>
    </row>
    <row r="313" spans="3:3" x14ac:dyDescent="0.25">
      <c r="C313" s="25"/>
    </row>
    <row r="314" spans="3:3" x14ac:dyDescent="0.25">
      <c r="C314" s="25"/>
    </row>
    <row r="315" spans="3:3" x14ac:dyDescent="0.25">
      <c r="C315" s="25"/>
    </row>
    <row r="316" spans="3:3" x14ac:dyDescent="0.25">
      <c r="C316" s="25"/>
    </row>
    <row r="317" spans="3:3" x14ac:dyDescent="0.25">
      <c r="C317" s="25"/>
    </row>
    <row r="318" spans="3:3" x14ac:dyDescent="0.25">
      <c r="C318" s="25"/>
    </row>
    <row r="319" spans="3:3" x14ac:dyDescent="0.25">
      <c r="C319" s="25"/>
    </row>
    <row r="320" spans="3:3" x14ac:dyDescent="0.25">
      <c r="C320" s="25"/>
    </row>
    <row r="321" spans="3:3" x14ac:dyDescent="0.25">
      <c r="C321" s="25"/>
    </row>
    <row r="322" spans="3:3" x14ac:dyDescent="0.25">
      <c r="C322" s="25"/>
    </row>
    <row r="323" spans="3:3" x14ac:dyDescent="0.25">
      <c r="C323" s="25"/>
    </row>
    <row r="324" spans="3:3" x14ac:dyDescent="0.25">
      <c r="C324" s="25"/>
    </row>
    <row r="325" spans="3:3" x14ac:dyDescent="0.25">
      <c r="C325" s="25"/>
    </row>
    <row r="326" spans="3:3" x14ac:dyDescent="0.25">
      <c r="C326" s="25"/>
    </row>
    <row r="327" spans="3:3" x14ac:dyDescent="0.25">
      <c r="C327" s="25"/>
    </row>
    <row r="328" spans="3:3" x14ac:dyDescent="0.25">
      <c r="C328" s="25"/>
    </row>
    <row r="329" spans="3:3" x14ac:dyDescent="0.25">
      <c r="C329" s="25"/>
    </row>
    <row r="330" spans="3:3" x14ac:dyDescent="0.25">
      <c r="C330" s="25"/>
    </row>
    <row r="331" spans="3:3" x14ac:dyDescent="0.25">
      <c r="C331" s="25"/>
    </row>
    <row r="332" spans="3:3" x14ac:dyDescent="0.25">
      <c r="C332" s="25"/>
    </row>
    <row r="333" spans="3:3" x14ac:dyDescent="0.25">
      <c r="C333" s="25"/>
    </row>
    <row r="334" spans="3:3" x14ac:dyDescent="0.25">
      <c r="C334" s="25"/>
    </row>
    <row r="335" spans="3:3" x14ac:dyDescent="0.25">
      <c r="C335" s="25"/>
    </row>
    <row r="336" spans="3:3" x14ac:dyDescent="0.25">
      <c r="C336" s="25"/>
    </row>
    <row r="337" spans="3:3" x14ac:dyDescent="0.25">
      <c r="C337" s="25"/>
    </row>
    <row r="338" spans="3:3" x14ac:dyDescent="0.25">
      <c r="C338" s="25"/>
    </row>
    <row r="339" spans="3:3" x14ac:dyDescent="0.25">
      <c r="C339" s="25"/>
    </row>
    <row r="340" spans="3:3" x14ac:dyDescent="0.25">
      <c r="C340" s="25"/>
    </row>
    <row r="341" spans="3:3" x14ac:dyDescent="0.25">
      <c r="C341" s="25"/>
    </row>
    <row r="342" spans="3:3" x14ac:dyDescent="0.25">
      <c r="C342" s="25"/>
    </row>
    <row r="343" spans="3:3" x14ac:dyDescent="0.25">
      <c r="C343" s="25"/>
    </row>
    <row r="344" spans="3:3" x14ac:dyDescent="0.25">
      <c r="C344" s="25"/>
    </row>
    <row r="345" spans="3:3" x14ac:dyDescent="0.25">
      <c r="C345" s="25"/>
    </row>
    <row r="346" spans="3:3" x14ac:dyDescent="0.25">
      <c r="C346" s="25"/>
    </row>
    <row r="347" spans="3:3" x14ac:dyDescent="0.25">
      <c r="C347" s="25"/>
    </row>
    <row r="348" spans="3:3" x14ac:dyDescent="0.25">
      <c r="C348" s="25"/>
    </row>
    <row r="349" spans="3:3" x14ac:dyDescent="0.25">
      <c r="C349" s="25"/>
    </row>
    <row r="350" spans="3:3" x14ac:dyDescent="0.25">
      <c r="C350" s="25"/>
    </row>
    <row r="351" spans="3:3" x14ac:dyDescent="0.25">
      <c r="C351" s="25"/>
    </row>
    <row r="352" spans="3:3" x14ac:dyDescent="0.25">
      <c r="C352" s="25"/>
    </row>
    <row r="353" spans="3:3" x14ac:dyDescent="0.25">
      <c r="C353" s="25"/>
    </row>
    <row r="354" spans="3:3" x14ac:dyDescent="0.25">
      <c r="C354" s="25"/>
    </row>
    <row r="355" spans="3:3" x14ac:dyDescent="0.25">
      <c r="C355" s="25"/>
    </row>
    <row r="356" spans="3:3" x14ac:dyDescent="0.25">
      <c r="C356" s="25"/>
    </row>
    <row r="357" spans="3:3" x14ac:dyDescent="0.25">
      <c r="C357" s="25"/>
    </row>
    <row r="358" spans="3:3" x14ac:dyDescent="0.25">
      <c r="C358" s="25"/>
    </row>
    <row r="359" spans="3:3" x14ac:dyDescent="0.25">
      <c r="C359" s="25"/>
    </row>
    <row r="360" spans="3:3" x14ac:dyDescent="0.25">
      <c r="C360" s="25"/>
    </row>
    <row r="361" spans="3:3" x14ac:dyDescent="0.25">
      <c r="C361" s="25"/>
    </row>
    <row r="362" spans="3:3" x14ac:dyDescent="0.25">
      <c r="C362" s="25"/>
    </row>
    <row r="363" spans="3:3" x14ac:dyDescent="0.25">
      <c r="C363" s="25"/>
    </row>
    <row r="364" spans="3:3" x14ac:dyDescent="0.25">
      <c r="C364" s="25"/>
    </row>
    <row r="365" spans="3:3" x14ac:dyDescent="0.25">
      <c r="C365" s="25"/>
    </row>
    <row r="366" spans="3:3" x14ac:dyDescent="0.25">
      <c r="C366" s="25"/>
    </row>
    <row r="367" spans="3:3" x14ac:dyDescent="0.25">
      <c r="C367" s="25"/>
    </row>
    <row r="368" spans="3:3" x14ac:dyDescent="0.25">
      <c r="C368" s="25"/>
    </row>
    <row r="369" spans="3:3" x14ac:dyDescent="0.25">
      <c r="C369" s="25"/>
    </row>
    <row r="370" spans="3:3" x14ac:dyDescent="0.25">
      <c r="C370" s="25"/>
    </row>
    <row r="371" spans="3:3" x14ac:dyDescent="0.25">
      <c r="C371" s="25"/>
    </row>
    <row r="372" spans="3:3" x14ac:dyDescent="0.25">
      <c r="C372" s="25"/>
    </row>
    <row r="373" spans="3:3" x14ac:dyDescent="0.25">
      <c r="C373" s="25"/>
    </row>
    <row r="374" spans="3:3" x14ac:dyDescent="0.25">
      <c r="C374" s="25"/>
    </row>
    <row r="375" spans="3:3" x14ac:dyDescent="0.25">
      <c r="C375" s="25"/>
    </row>
    <row r="376" spans="3:3" x14ac:dyDescent="0.25">
      <c r="C376" s="25"/>
    </row>
    <row r="377" spans="3:3" x14ac:dyDescent="0.25">
      <c r="C377" s="25"/>
    </row>
    <row r="378" spans="3:3" x14ac:dyDescent="0.25">
      <c r="C378" s="25"/>
    </row>
    <row r="379" spans="3:3" x14ac:dyDescent="0.25">
      <c r="C379" s="25"/>
    </row>
    <row r="380" spans="3:3" x14ac:dyDescent="0.25">
      <c r="C380" s="25"/>
    </row>
    <row r="381" spans="3:3" x14ac:dyDescent="0.25">
      <c r="C381" s="25"/>
    </row>
    <row r="382" spans="3:3" x14ac:dyDescent="0.25">
      <c r="C382" s="25"/>
    </row>
    <row r="383" spans="3:3" x14ac:dyDescent="0.25">
      <c r="C383" s="25"/>
    </row>
    <row r="384" spans="3:3" x14ac:dyDescent="0.25">
      <c r="C384" s="25"/>
    </row>
    <row r="385" spans="3:3" x14ac:dyDescent="0.25">
      <c r="C385" s="25"/>
    </row>
    <row r="386" spans="3:3" x14ac:dyDescent="0.25">
      <c r="C386" s="25"/>
    </row>
    <row r="387" spans="3:3" x14ac:dyDescent="0.25">
      <c r="C387" s="25"/>
    </row>
    <row r="388" spans="3:3" x14ac:dyDescent="0.25">
      <c r="C388" s="25"/>
    </row>
    <row r="389" spans="3:3" x14ac:dyDescent="0.25">
      <c r="C389" s="25"/>
    </row>
    <row r="390" spans="3:3" x14ac:dyDescent="0.25">
      <c r="C390" s="25"/>
    </row>
    <row r="391" spans="3:3" x14ac:dyDescent="0.25">
      <c r="C391" s="25"/>
    </row>
    <row r="392" spans="3:3" x14ac:dyDescent="0.25">
      <c r="C392" s="25"/>
    </row>
    <row r="393" spans="3:3" x14ac:dyDescent="0.25">
      <c r="C393" s="25"/>
    </row>
    <row r="394" spans="3:3" x14ac:dyDescent="0.25">
      <c r="C394" s="25"/>
    </row>
    <row r="395" spans="3:3" x14ac:dyDescent="0.25">
      <c r="C395" s="25"/>
    </row>
    <row r="396" spans="3:3" x14ac:dyDescent="0.25">
      <c r="C396" s="25"/>
    </row>
    <row r="397" spans="3:3" x14ac:dyDescent="0.25">
      <c r="C397" s="25"/>
    </row>
    <row r="398" spans="3:3" x14ac:dyDescent="0.25">
      <c r="C398" s="25"/>
    </row>
    <row r="399" spans="3:3" x14ac:dyDescent="0.25">
      <c r="C399" s="25"/>
    </row>
    <row r="400" spans="3:3" x14ac:dyDescent="0.25">
      <c r="C400" s="25"/>
    </row>
    <row r="401" spans="3:3" x14ac:dyDescent="0.25">
      <c r="C401" s="25"/>
    </row>
    <row r="402" spans="3:3" x14ac:dyDescent="0.25">
      <c r="C402" s="25"/>
    </row>
    <row r="403" spans="3:3" x14ac:dyDescent="0.25">
      <c r="C403" s="25"/>
    </row>
    <row r="404" spans="3:3" x14ac:dyDescent="0.25">
      <c r="C404" s="25"/>
    </row>
    <row r="405" spans="3:3" x14ac:dyDescent="0.25">
      <c r="C405" s="25"/>
    </row>
    <row r="406" spans="3:3" x14ac:dyDescent="0.25">
      <c r="C406" s="25"/>
    </row>
    <row r="407" spans="3:3" x14ac:dyDescent="0.25">
      <c r="C407" s="25"/>
    </row>
    <row r="408" spans="3:3" x14ac:dyDescent="0.25">
      <c r="C408" s="25"/>
    </row>
    <row r="409" spans="3:3" x14ac:dyDescent="0.25">
      <c r="C409" s="25"/>
    </row>
    <row r="410" spans="3:3" x14ac:dyDescent="0.25">
      <c r="C410" s="25"/>
    </row>
    <row r="411" spans="3:3" x14ac:dyDescent="0.25">
      <c r="C411" s="25"/>
    </row>
    <row r="412" spans="3:3" x14ac:dyDescent="0.25">
      <c r="C412" s="25"/>
    </row>
    <row r="413" spans="3:3" x14ac:dyDescent="0.25">
      <c r="C413" s="25"/>
    </row>
    <row r="414" spans="3:3" x14ac:dyDescent="0.25">
      <c r="C414" s="25"/>
    </row>
    <row r="415" spans="3:3" x14ac:dyDescent="0.25">
      <c r="C415" s="25"/>
    </row>
    <row r="416" spans="3:3" x14ac:dyDescent="0.25">
      <c r="C416" s="25"/>
    </row>
    <row r="417" spans="3:3" x14ac:dyDescent="0.25">
      <c r="C417" s="25"/>
    </row>
    <row r="418" spans="3:3" x14ac:dyDescent="0.25">
      <c r="C418" s="25"/>
    </row>
    <row r="419" spans="3:3" x14ac:dyDescent="0.25">
      <c r="C419" s="25"/>
    </row>
    <row r="420" spans="3:3" x14ac:dyDescent="0.25">
      <c r="C420" s="25"/>
    </row>
    <row r="421" spans="3:3" x14ac:dyDescent="0.25">
      <c r="C421" s="25"/>
    </row>
    <row r="422" spans="3:3" x14ac:dyDescent="0.25">
      <c r="C422" s="25"/>
    </row>
    <row r="423" spans="3:3" x14ac:dyDescent="0.25">
      <c r="C423" s="25"/>
    </row>
    <row r="424" spans="3:3" x14ac:dyDescent="0.25">
      <c r="C424" s="25"/>
    </row>
    <row r="425" spans="3:3" x14ac:dyDescent="0.25">
      <c r="C425" s="25"/>
    </row>
    <row r="426" spans="3:3" x14ac:dyDescent="0.25">
      <c r="C426" s="25"/>
    </row>
    <row r="427" spans="3:3" x14ac:dyDescent="0.25">
      <c r="C427" s="25"/>
    </row>
    <row r="428" spans="3:3" x14ac:dyDescent="0.25">
      <c r="C428" s="25"/>
    </row>
    <row r="429" spans="3:3" x14ac:dyDescent="0.25">
      <c r="C429" s="25"/>
    </row>
    <row r="430" spans="3:3" x14ac:dyDescent="0.25">
      <c r="C430" s="25"/>
    </row>
    <row r="431" spans="3:3" x14ac:dyDescent="0.25">
      <c r="C431" s="25"/>
    </row>
    <row r="432" spans="3:3" x14ac:dyDescent="0.25">
      <c r="C432" s="25"/>
    </row>
    <row r="433" spans="3:3" x14ac:dyDescent="0.25">
      <c r="C433" s="25"/>
    </row>
    <row r="434" spans="3:3" x14ac:dyDescent="0.25">
      <c r="C434" s="25"/>
    </row>
    <row r="435" spans="3:3" x14ac:dyDescent="0.25">
      <c r="C435" s="25"/>
    </row>
    <row r="436" spans="3:3" x14ac:dyDescent="0.25">
      <c r="C436" s="25"/>
    </row>
    <row r="437" spans="3:3" x14ac:dyDescent="0.25">
      <c r="C437" s="25"/>
    </row>
    <row r="438" spans="3:3" x14ac:dyDescent="0.25">
      <c r="C438" s="25"/>
    </row>
    <row r="439" spans="3:3" x14ac:dyDescent="0.25">
      <c r="C439" s="25"/>
    </row>
    <row r="440" spans="3:3" x14ac:dyDescent="0.25">
      <c r="C440" s="25"/>
    </row>
    <row r="441" spans="3:3" x14ac:dyDescent="0.25">
      <c r="C441" s="25"/>
    </row>
    <row r="442" spans="3:3" x14ac:dyDescent="0.25">
      <c r="C442" s="25"/>
    </row>
    <row r="443" spans="3:3" x14ac:dyDescent="0.25">
      <c r="C443" s="25"/>
    </row>
    <row r="444" spans="3:3" x14ac:dyDescent="0.25">
      <c r="C444" s="25"/>
    </row>
    <row r="445" spans="3:3" x14ac:dyDescent="0.25">
      <c r="C445" s="25"/>
    </row>
    <row r="446" spans="3:3" x14ac:dyDescent="0.25">
      <c r="C446" s="25"/>
    </row>
    <row r="447" spans="3:3" x14ac:dyDescent="0.25">
      <c r="C447" s="25"/>
    </row>
    <row r="448" spans="3:3" x14ac:dyDescent="0.25">
      <c r="C448" s="25"/>
    </row>
    <row r="449" spans="3:3" x14ac:dyDescent="0.25">
      <c r="C449" s="25"/>
    </row>
    <row r="450" spans="3:3" x14ac:dyDescent="0.25">
      <c r="C450" s="25"/>
    </row>
    <row r="451" spans="3:3" x14ac:dyDescent="0.25">
      <c r="C451" s="25"/>
    </row>
    <row r="452" spans="3:3" x14ac:dyDescent="0.25">
      <c r="C452" s="25"/>
    </row>
    <row r="453" spans="3:3" x14ac:dyDescent="0.25">
      <c r="C453" s="25"/>
    </row>
    <row r="454" spans="3:3" x14ac:dyDescent="0.25">
      <c r="C454" s="25"/>
    </row>
    <row r="455" spans="3:3" x14ac:dyDescent="0.25">
      <c r="C455" s="25"/>
    </row>
    <row r="456" spans="3:3" x14ac:dyDescent="0.25">
      <c r="C456" s="25"/>
    </row>
    <row r="457" spans="3:3" x14ac:dyDescent="0.25">
      <c r="C457" s="25"/>
    </row>
    <row r="458" spans="3:3" x14ac:dyDescent="0.25">
      <c r="C458" s="25"/>
    </row>
    <row r="459" spans="3:3" x14ac:dyDescent="0.25">
      <c r="C459" s="25"/>
    </row>
    <row r="460" spans="3:3" x14ac:dyDescent="0.25">
      <c r="C460" s="25"/>
    </row>
    <row r="461" spans="3:3" x14ac:dyDescent="0.25">
      <c r="C461" s="25"/>
    </row>
    <row r="462" spans="3:3" x14ac:dyDescent="0.25">
      <c r="C462" s="25"/>
    </row>
    <row r="463" spans="3:3" x14ac:dyDescent="0.25">
      <c r="C463" s="25"/>
    </row>
    <row r="464" spans="3:3" x14ac:dyDescent="0.25">
      <c r="C464" s="25"/>
    </row>
    <row r="465" spans="3:3" x14ac:dyDescent="0.25">
      <c r="C465" s="25"/>
    </row>
    <row r="466" spans="3:3" x14ac:dyDescent="0.25">
      <c r="C466" s="25"/>
    </row>
    <row r="467" spans="3:3" x14ac:dyDescent="0.25">
      <c r="C467" s="25"/>
    </row>
    <row r="468" spans="3:3" x14ac:dyDescent="0.25">
      <c r="C468" s="25"/>
    </row>
    <row r="469" spans="3:3" x14ac:dyDescent="0.25">
      <c r="C469" s="25"/>
    </row>
    <row r="470" spans="3:3" x14ac:dyDescent="0.25">
      <c r="C470" s="25"/>
    </row>
    <row r="471" spans="3:3" x14ac:dyDescent="0.25">
      <c r="C471" s="25"/>
    </row>
    <row r="472" spans="3:3" x14ac:dyDescent="0.25">
      <c r="C472" s="25"/>
    </row>
    <row r="473" spans="3:3" x14ac:dyDescent="0.25">
      <c r="C473" s="25"/>
    </row>
    <row r="474" spans="3:3" x14ac:dyDescent="0.25">
      <c r="C474" s="25"/>
    </row>
    <row r="475" spans="3:3" x14ac:dyDescent="0.25">
      <c r="C475" s="25"/>
    </row>
    <row r="476" spans="3:3" x14ac:dyDescent="0.25">
      <c r="C476" s="25"/>
    </row>
    <row r="477" spans="3:3" x14ac:dyDescent="0.25">
      <c r="C477" s="25"/>
    </row>
    <row r="478" spans="3:3" x14ac:dyDescent="0.25">
      <c r="C478" s="25"/>
    </row>
    <row r="479" spans="3:3" x14ac:dyDescent="0.25">
      <c r="C479" s="25"/>
    </row>
    <row r="480" spans="3:3" x14ac:dyDescent="0.25">
      <c r="C480" s="25"/>
    </row>
    <row r="481" spans="3:3" x14ac:dyDescent="0.25">
      <c r="C481" s="25"/>
    </row>
    <row r="482" spans="3:3" x14ac:dyDescent="0.25">
      <c r="C482" s="25"/>
    </row>
    <row r="483" spans="3:3" x14ac:dyDescent="0.25">
      <c r="C483" s="25"/>
    </row>
    <row r="484" spans="3:3" x14ac:dyDescent="0.25">
      <c r="C484" s="25"/>
    </row>
    <row r="485" spans="3:3" x14ac:dyDescent="0.25">
      <c r="C485" s="25"/>
    </row>
    <row r="486" spans="3:3" x14ac:dyDescent="0.25">
      <c r="C486" s="25"/>
    </row>
    <row r="487" spans="3:3" x14ac:dyDescent="0.25">
      <c r="C487" s="25"/>
    </row>
    <row r="488" spans="3:3" x14ac:dyDescent="0.25">
      <c r="C488" s="25"/>
    </row>
    <row r="489" spans="3:3" x14ac:dyDescent="0.25">
      <c r="C489" s="25"/>
    </row>
    <row r="490" spans="3:3" x14ac:dyDescent="0.25">
      <c r="C490" s="25"/>
    </row>
    <row r="491" spans="3:3" x14ac:dyDescent="0.25">
      <c r="C491" s="25"/>
    </row>
    <row r="492" spans="3:3" x14ac:dyDescent="0.25">
      <c r="C492" s="25"/>
    </row>
    <row r="493" spans="3:3" x14ac:dyDescent="0.25">
      <c r="C493" s="25"/>
    </row>
    <row r="494" spans="3:3" x14ac:dyDescent="0.25">
      <c r="C494" s="25"/>
    </row>
    <row r="495" spans="3:3" x14ac:dyDescent="0.25">
      <c r="C495" s="25"/>
    </row>
    <row r="496" spans="3:3" x14ac:dyDescent="0.25">
      <c r="C496" s="25"/>
    </row>
    <row r="497" spans="3:3" x14ac:dyDescent="0.25">
      <c r="C497" s="25"/>
    </row>
    <row r="498" spans="3:3" x14ac:dyDescent="0.25">
      <c r="C498" s="25"/>
    </row>
    <row r="499" spans="3:3" x14ac:dyDescent="0.25">
      <c r="C499" s="25"/>
    </row>
    <row r="500" spans="3:3" x14ac:dyDescent="0.25">
      <c r="C500" s="25"/>
    </row>
    <row r="501" spans="3:3" x14ac:dyDescent="0.25">
      <c r="C501" s="25"/>
    </row>
    <row r="502" spans="3:3" x14ac:dyDescent="0.25">
      <c r="C502" s="25"/>
    </row>
    <row r="503" spans="3:3" x14ac:dyDescent="0.25">
      <c r="C503" s="25"/>
    </row>
    <row r="504" spans="3:3" x14ac:dyDescent="0.25">
      <c r="C504" s="25"/>
    </row>
    <row r="505" spans="3:3" x14ac:dyDescent="0.25">
      <c r="C505" s="25"/>
    </row>
    <row r="506" spans="3:3" x14ac:dyDescent="0.25">
      <c r="C506" s="25"/>
    </row>
    <row r="507" spans="3:3" x14ac:dyDescent="0.25">
      <c r="C507" s="25"/>
    </row>
    <row r="508" spans="3:3" x14ac:dyDescent="0.25">
      <c r="C508" s="25"/>
    </row>
    <row r="509" spans="3:3" x14ac:dyDescent="0.25">
      <c r="C509" s="25"/>
    </row>
    <row r="510" spans="3:3" x14ac:dyDescent="0.25">
      <c r="C510" s="25"/>
    </row>
    <row r="511" spans="3:3" x14ac:dyDescent="0.25">
      <c r="C511" s="25"/>
    </row>
    <row r="512" spans="3:3" x14ac:dyDescent="0.25">
      <c r="C512" s="25"/>
    </row>
    <row r="513" spans="3:3" x14ac:dyDescent="0.25">
      <c r="C513" s="25"/>
    </row>
    <row r="514" spans="3:3" x14ac:dyDescent="0.25">
      <c r="C514" s="25"/>
    </row>
    <row r="515" spans="3:3" x14ac:dyDescent="0.25">
      <c r="C515" s="25"/>
    </row>
    <row r="516" spans="3:3" x14ac:dyDescent="0.25">
      <c r="C516" s="25"/>
    </row>
    <row r="517" spans="3:3" x14ac:dyDescent="0.25">
      <c r="C517" s="25"/>
    </row>
    <row r="518" spans="3:3" x14ac:dyDescent="0.25">
      <c r="C518" s="25"/>
    </row>
    <row r="519" spans="3:3" x14ac:dyDescent="0.25">
      <c r="C519" s="25"/>
    </row>
    <row r="520" spans="3:3" x14ac:dyDescent="0.25">
      <c r="C520" s="25"/>
    </row>
    <row r="521" spans="3:3" x14ac:dyDescent="0.25">
      <c r="C521" s="25"/>
    </row>
    <row r="522" spans="3:3" x14ac:dyDescent="0.25">
      <c r="C522" s="25"/>
    </row>
    <row r="523" spans="3:3" x14ac:dyDescent="0.25">
      <c r="C523" s="25"/>
    </row>
    <row r="524" spans="3:3" x14ac:dyDescent="0.25">
      <c r="C524" s="25"/>
    </row>
    <row r="525" spans="3:3" x14ac:dyDescent="0.25">
      <c r="C525" s="25"/>
    </row>
    <row r="526" spans="3:3" x14ac:dyDescent="0.25">
      <c r="C526" s="25"/>
    </row>
    <row r="527" spans="3:3" x14ac:dyDescent="0.25">
      <c r="C527" s="25"/>
    </row>
    <row r="528" spans="3:3" x14ac:dyDescent="0.25">
      <c r="C528" s="25"/>
    </row>
    <row r="529" spans="3:3" x14ac:dyDescent="0.25">
      <c r="C529" s="25"/>
    </row>
    <row r="530" spans="3:3" x14ac:dyDescent="0.25">
      <c r="C530" s="25"/>
    </row>
    <row r="531" spans="3:3" x14ac:dyDescent="0.25">
      <c r="C531" s="25"/>
    </row>
    <row r="532" spans="3:3" x14ac:dyDescent="0.25">
      <c r="C532" s="25"/>
    </row>
    <row r="533" spans="3:3" x14ac:dyDescent="0.25">
      <c r="C533" s="25"/>
    </row>
    <row r="534" spans="3:3" x14ac:dyDescent="0.25">
      <c r="C534" s="25"/>
    </row>
    <row r="535" spans="3:3" x14ac:dyDescent="0.25">
      <c r="C535" s="25"/>
    </row>
    <row r="536" spans="3:3" x14ac:dyDescent="0.25">
      <c r="C536" s="25"/>
    </row>
    <row r="537" spans="3:3" x14ac:dyDescent="0.25">
      <c r="C537" s="25"/>
    </row>
    <row r="538" spans="3:3" x14ac:dyDescent="0.25">
      <c r="C538" s="25"/>
    </row>
    <row r="539" spans="3:3" x14ac:dyDescent="0.25">
      <c r="C539" s="25"/>
    </row>
    <row r="540" spans="3:3" x14ac:dyDescent="0.25">
      <c r="C540" s="25"/>
    </row>
    <row r="541" spans="3:3" x14ac:dyDescent="0.25">
      <c r="C541" s="25"/>
    </row>
    <row r="542" spans="3:3" x14ac:dyDescent="0.25">
      <c r="C542" s="25"/>
    </row>
    <row r="543" spans="3:3" x14ac:dyDescent="0.25">
      <c r="C543" s="25"/>
    </row>
    <row r="544" spans="3:3" x14ac:dyDescent="0.25">
      <c r="C544" s="25"/>
    </row>
    <row r="545" spans="3:3" x14ac:dyDescent="0.25">
      <c r="C545" s="25"/>
    </row>
    <row r="546" spans="3:3" x14ac:dyDescent="0.25">
      <c r="C546" s="25"/>
    </row>
    <row r="547" spans="3:3" x14ac:dyDescent="0.25">
      <c r="C547" s="25"/>
    </row>
    <row r="548" spans="3:3" x14ac:dyDescent="0.25">
      <c r="C548" s="25"/>
    </row>
    <row r="549" spans="3:3" x14ac:dyDescent="0.25">
      <c r="C549" s="25"/>
    </row>
    <row r="550" spans="3:3" x14ac:dyDescent="0.25">
      <c r="C550" s="25"/>
    </row>
    <row r="551" spans="3:3" x14ac:dyDescent="0.25">
      <c r="C551" s="25"/>
    </row>
    <row r="552" spans="3:3" x14ac:dyDescent="0.25">
      <c r="C552" s="25"/>
    </row>
    <row r="553" spans="3:3" x14ac:dyDescent="0.25">
      <c r="C553" s="25"/>
    </row>
    <row r="554" spans="3:3" x14ac:dyDescent="0.25">
      <c r="C554" s="25"/>
    </row>
    <row r="555" spans="3:3" x14ac:dyDescent="0.25">
      <c r="C555" s="25"/>
    </row>
    <row r="556" spans="3:3" x14ac:dyDescent="0.25">
      <c r="C556" s="25"/>
    </row>
    <row r="557" spans="3:3" x14ac:dyDescent="0.25">
      <c r="C557" s="25"/>
    </row>
    <row r="558" spans="3:3" x14ac:dyDescent="0.25">
      <c r="C558" s="25"/>
    </row>
    <row r="559" spans="3:3" x14ac:dyDescent="0.25">
      <c r="C559" s="25"/>
    </row>
    <row r="560" spans="3:3" x14ac:dyDescent="0.25">
      <c r="C560" s="25"/>
    </row>
    <row r="561" spans="3:3" x14ac:dyDescent="0.25">
      <c r="C561" s="25"/>
    </row>
    <row r="562" spans="3:3" x14ac:dyDescent="0.25">
      <c r="C562" s="25"/>
    </row>
    <row r="563" spans="3:3" x14ac:dyDescent="0.25">
      <c r="C563" s="25"/>
    </row>
    <row r="564" spans="3:3" x14ac:dyDescent="0.25">
      <c r="C564" s="25"/>
    </row>
    <row r="565" spans="3:3" x14ac:dyDescent="0.25">
      <c r="C565" s="25"/>
    </row>
    <row r="566" spans="3:3" x14ac:dyDescent="0.25">
      <c r="C566" s="25"/>
    </row>
    <row r="567" spans="3:3" x14ac:dyDescent="0.25">
      <c r="C567" s="25"/>
    </row>
    <row r="568" spans="3:3" x14ac:dyDescent="0.25">
      <c r="C568" s="25"/>
    </row>
    <row r="569" spans="3:3" x14ac:dyDescent="0.25">
      <c r="C569" s="25"/>
    </row>
    <row r="570" spans="3:3" x14ac:dyDescent="0.25">
      <c r="C570" s="25"/>
    </row>
    <row r="571" spans="3:3" x14ac:dyDescent="0.25">
      <c r="C571" s="25"/>
    </row>
    <row r="572" spans="3:3" x14ac:dyDescent="0.25">
      <c r="C572" s="25"/>
    </row>
    <row r="573" spans="3:3" x14ac:dyDescent="0.25">
      <c r="C573" s="25"/>
    </row>
    <row r="574" spans="3:3" x14ac:dyDescent="0.25">
      <c r="C574" s="25"/>
    </row>
    <row r="575" spans="3:3" x14ac:dyDescent="0.25">
      <c r="C575" s="25"/>
    </row>
    <row r="576" spans="3:3" x14ac:dyDescent="0.25">
      <c r="C576" s="25"/>
    </row>
    <row r="577" spans="3:3" x14ac:dyDescent="0.25">
      <c r="C577" s="25"/>
    </row>
    <row r="578" spans="3:3" x14ac:dyDescent="0.25">
      <c r="C578" s="25"/>
    </row>
    <row r="579" spans="3:3" x14ac:dyDescent="0.25">
      <c r="C579" s="25"/>
    </row>
    <row r="580" spans="3:3" x14ac:dyDescent="0.25">
      <c r="C580" s="25"/>
    </row>
    <row r="581" spans="3:3" x14ac:dyDescent="0.25">
      <c r="C581" s="25"/>
    </row>
    <row r="582" spans="3:3" x14ac:dyDescent="0.25">
      <c r="C582" s="25"/>
    </row>
    <row r="583" spans="3:3" x14ac:dyDescent="0.25">
      <c r="C583" s="25"/>
    </row>
    <row r="584" spans="3:3" x14ac:dyDescent="0.25">
      <c r="C584" s="25"/>
    </row>
    <row r="585" spans="3:3" x14ac:dyDescent="0.25">
      <c r="C585" s="25"/>
    </row>
    <row r="586" spans="3:3" x14ac:dyDescent="0.25">
      <c r="C586" s="25"/>
    </row>
    <row r="587" spans="3:3" x14ac:dyDescent="0.25">
      <c r="C587" s="25"/>
    </row>
    <row r="588" spans="3:3" x14ac:dyDescent="0.25">
      <c r="C588" s="25"/>
    </row>
    <row r="589" spans="3:3" x14ac:dyDescent="0.25">
      <c r="C589" s="25"/>
    </row>
    <row r="590" spans="3:3" x14ac:dyDescent="0.25">
      <c r="C590" s="25"/>
    </row>
    <row r="591" spans="3:3" x14ac:dyDescent="0.25">
      <c r="C591" s="25"/>
    </row>
    <row r="592" spans="3:3" x14ac:dyDescent="0.25">
      <c r="C592" s="25"/>
    </row>
    <row r="593" spans="3:3" x14ac:dyDescent="0.25">
      <c r="C593" s="25"/>
    </row>
    <row r="594" spans="3:3" x14ac:dyDescent="0.25">
      <c r="C594" s="25"/>
    </row>
    <row r="595" spans="3:3" x14ac:dyDescent="0.25">
      <c r="C595" s="25"/>
    </row>
    <row r="596" spans="3:3" x14ac:dyDescent="0.25">
      <c r="C596" s="25"/>
    </row>
    <row r="597" spans="3:3" x14ac:dyDescent="0.25">
      <c r="C597" s="25"/>
    </row>
    <row r="598" spans="3:3" x14ac:dyDescent="0.25">
      <c r="C598" s="25"/>
    </row>
    <row r="599" spans="3:3" x14ac:dyDescent="0.25">
      <c r="C599" s="25"/>
    </row>
    <row r="600" spans="3:3" x14ac:dyDescent="0.25">
      <c r="C600" s="25"/>
    </row>
    <row r="601" spans="3:3" x14ac:dyDescent="0.25">
      <c r="C601" s="25"/>
    </row>
    <row r="602" spans="3:3" x14ac:dyDescent="0.25">
      <c r="C602" s="25"/>
    </row>
    <row r="603" spans="3:3" x14ac:dyDescent="0.25">
      <c r="C603" s="25"/>
    </row>
    <row r="604" spans="3:3" x14ac:dyDescent="0.25">
      <c r="C604" s="25"/>
    </row>
    <row r="605" spans="3:3" x14ac:dyDescent="0.25">
      <c r="C605" s="25"/>
    </row>
    <row r="606" spans="3:3" x14ac:dyDescent="0.25">
      <c r="C606" s="25"/>
    </row>
    <row r="607" spans="3:3" x14ac:dyDescent="0.25">
      <c r="C607" s="25"/>
    </row>
    <row r="608" spans="3:3" x14ac:dyDescent="0.25">
      <c r="C608" s="25"/>
    </row>
    <row r="609" spans="3:3" x14ac:dyDescent="0.25">
      <c r="C609" s="25"/>
    </row>
    <row r="610" spans="3:3" x14ac:dyDescent="0.25">
      <c r="C610" s="25"/>
    </row>
    <row r="611" spans="3:3" x14ac:dyDescent="0.25">
      <c r="C611" s="25"/>
    </row>
    <row r="612" spans="3:3" x14ac:dyDescent="0.25">
      <c r="C612" s="25"/>
    </row>
    <row r="613" spans="3:3" x14ac:dyDescent="0.25">
      <c r="C613" s="25"/>
    </row>
    <row r="614" spans="3:3" x14ac:dyDescent="0.25">
      <c r="C614" s="25"/>
    </row>
    <row r="615" spans="3:3" x14ac:dyDescent="0.25">
      <c r="C615" s="25"/>
    </row>
    <row r="616" spans="3:3" x14ac:dyDescent="0.25">
      <c r="C616" s="25"/>
    </row>
    <row r="617" spans="3:3" x14ac:dyDescent="0.25">
      <c r="C617" s="25"/>
    </row>
    <row r="618" spans="3:3" x14ac:dyDescent="0.25">
      <c r="C618" s="25"/>
    </row>
    <row r="619" spans="3:3" x14ac:dyDescent="0.25">
      <c r="C619" s="25"/>
    </row>
    <row r="620" spans="3:3" x14ac:dyDescent="0.25">
      <c r="C620" s="25"/>
    </row>
    <row r="621" spans="3:3" x14ac:dyDescent="0.25">
      <c r="C621" s="25"/>
    </row>
    <row r="622" spans="3:3" x14ac:dyDescent="0.25">
      <c r="C622" s="25"/>
    </row>
    <row r="623" spans="3:3" x14ac:dyDescent="0.25">
      <c r="C623" s="25"/>
    </row>
    <row r="624" spans="3:3" x14ac:dyDescent="0.25">
      <c r="C624" s="25"/>
    </row>
    <row r="625" spans="3:3" x14ac:dyDescent="0.25">
      <c r="C625" s="25"/>
    </row>
    <row r="626" spans="3:3" x14ac:dyDescent="0.25">
      <c r="C626" s="25"/>
    </row>
    <row r="627" spans="3:3" x14ac:dyDescent="0.25">
      <c r="C627" s="25"/>
    </row>
    <row r="628" spans="3:3" x14ac:dyDescent="0.25">
      <c r="C628" s="25"/>
    </row>
    <row r="629" spans="3:3" x14ac:dyDescent="0.25">
      <c r="C629" s="25"/>
    </row>
    <row r="630" spans="3:3" x14ac:dyDescent="0.25">
      <c r="C630" s="25"/>
    </row>
    <row r="631" spans="3:3" x14ac:dyDescent="0.25">
      <c r="C631" s="25"/>
    </row>
    <row r="632" spans="3:3" x14ac:dyDescent="0.25">
      <c r="C632" s="25"/>
    </row>
    <row r="633" spans="3:3" x14ac:dyDescent="0.25">
      <c r="C633" s="25"/>
    </row>
    <row r="634" spans="3:3" x14ac:dyDescent="0.25">
      <c r="C634" s="25"/>
    </row>
    <row r="635" spans="3:3" x14ac:dyDescent="0.25">
      <c r="C635" s="25"/>
    </row>
    <row r="636" spans="3:3" x14ac:dyDescent="0.25">
      <c r="C636" s="25"/>
    </row>
    <row r="637" spans="3:3" x14ac:dyDescent="0.25">
      <c r="C637" s="25"/>
    </row>
    <row r="638" spans="3:3" x14ac:dyDescent="0.25">
      <c r="C638" s="25"/>
    </row>
    <row r="639" spans="3:3" x14ac:dyDescent="0.25">
      <c r="C639" s="25"/>
    </row>
    <row r="640" spans="3:3" x14ac:dyDescent="0.25">
      <c r="C640" s="25"/>
    </row>
    <row r="641" spans="3:3" x14ac:dyDescent="0.25">
      <c r="C641" s="25"/>
    </row>
    <row r="642" spans="3:3" x14ac:dyDescent="0.25">
      <c r="C642" s="25"/>
    </row>
    <row r="643" spans="3:3" x14ac:dyDescent="0.25">
      <c r="C643" s="25"/>
    </row>
    <row r="644" spans="3:3" x14ac:dyDescent="0.25">
      <c r="C644" s="25"/>
    </row>
    <row r="645" spans="3:3" x14ac:dyDescent="0.25">
      <c r="C645" s="25"/>
    </row>
    <row r="646" spans="3:3" x14ac:dyDescent="0.25">
      <c r="C646" s="25"/>
    </row>
    <row r="647" spans="3:3" x14ac:dyDescent="0.25">
      <c r="C647" s="25"/>
    </row>
    <row r="648" spans="3:3" x14ac:dyDescent="0.25">
      <c r="C648" s="25"/>
    </row>
    <row r="649" spans="3:3" x14ac:dyDescent="0.25">
      <c r="C649" s="25"/>
    </row>
    <row r="650" spans="3:3" x14ac:dyDescent="0.25">
      <c r="C650" s="25"/>
    </row>
    <row r="651" spans="3:3" x14ac:dyDescent="0.25">
      <c r="C651" s="25"/>
    </row>
    <row r="652" spans="3:3" x14ac:dyDescent="0.25">
      <c r="C652" s="25"/>
    </row>
    <row r="653" spans="3:3" x14ac:dyDescent="0.25">
      <c r="C653" s="25"/>
    </row>
    <row r="654" spans="3:3" x14ac:dyDescent="0.25">
      <c r="C654" s="25"/>
    </row>
    <row r="655" spans="3:3" x14ac:dyDescent="0.25">
      <c r="C655" s="25"/>
    </row>
    <row r="656" spans="3:3" x14ac:dyDescent="0.25">
      <c r="C656" s="25"/>
    </row>
    <row r="657" spans="3:3" x14ac:dyDescent="0.25">
      <c r="C657" s="25"/>
    </row>
    <row r="658" spans="3:3" x14ac:dyDescent="0.25">
      <c r="C658" s="25"/>
    </row>
    <row r="659" spans="3:3" x14ac:dyDescent="0.25">
      <c r="C659" s="25"/>
    </row>
    <row r="660" spans="3:3" x14ac:dyDescent="0.25">
      <c r="C660" s="25"/>
    </row>
    <row r="661" spans="3:3" x14ac:dyDescent="0.25">
      <c r="C661" s="25"/>
    </row>
    <row r="662" spans="3:3" x14ac:dyDescent="0.25">
      <c r="C662" s="25"/>
    </row>
    <row r="663" spans="3:3" x14ac:dyDescent="0.25">
      <c r="C663" s="25"/>
    </row>
    <row r="664" spans="3:3" x14ac:dyDescent="0.25">
      <c r="C664" s="25"/>
    </row>
    <row r="665" spans="3:3" x14ac:dyDescent="0.25">
      <c r="C665" s="25"/>
    </row>
    <row r="666" spans="3:3" x14ac:dyDescent="0.25">
      <c r="C666" s="25"/>
    </row>
    <row r="667" spans="3:3" x14ac:dyDescent="0.25">
      <c r="C667" s="25"/>
    </row>
    <row r="668" spans="3:3" x14ac:dyDescent="0.25">
      <c r="C668" s="25"/>
    </row>
    <row r="669" spans="3:3" x14ac:dyDescent="0.25">
      <c r="C669" s="25"/>
    </row>
    <row r="670" spans="3:3" x14ac:dyDescent="0.25">
      <c r="C670" s="25"/>
    </row>
    <row r="671" spans="3:3" x14ac:dyDescent="0.25">
      <c r="C671" s="25"/>
    </row>
    <row r="672" spans="3:3" x14ac:dyDescent="0.25">
      <c r="C672" s="25"/>
    </row>
    <row r="673" spans="3:3" x14ac:dyDescent="0.25">
      <c r="C673" s="25"/>
    </row>
    <row r="674" spans="3:3" x14ac:dyDescent="0.25">
      <c r="C674" s="25"/>
    </row>
    <row r="675" spans="3:3" x14ac:dyDescent="0.25">
      <c r="C675" s="25"/>
    </row>
    <row r="676" spans="3:3" x14ac:dyDescent="0.25">
      <c r="C676" s="25"/>
    </row>
    <row r="677" spans="3:3" x14ac:dyDescent="0.25">
      <c r="C677" s="25"/>
    </row>
    <row r="678" spans="3:3" x14ac:dyDescent="0.25">
      <c r="C678" s="25"/>
    </row>
    <row r="679" spans="3:3" x14ac:dyDescent="0.25">
      <c r="C679" s="25"/>
    </row>
    <row r="680" spans="3:3" x14ac:dyDescent="0.25">
      <c r="C680" s="25"/>
    </row>
    <row r="681" spans="3:3" x14ac:dyDescent="0.25">
      <c r="C681" s="25"/>
    </row>
    <row r="682" spans="3:3" x14ac:dyDescent="0.25">
      <c r="C682" s="25"/>
    </row>
    <row r="683" spans="3:3" x14ac:dyDescent="0.25">
      <c r="C683" s="25"/>
    </row>
    <row r="684" spans="3:3" x14ac:dyDescent="0.25">
      <c r="C684" s="25"/>
    </row>
    <row r="685" spans="3:3" x14ac:dyDescent="0.25">
      <c r="C685" s="25"/>
    </row>
    <row r="686" spans="3:3" x14ac:dyDescent="0.25">
      <c r="C686" s="25"/>
    </row>
    <row r="687" spans="3:3" x14ac:dyDescent="0.25">
      <c r="C687" s="25"/>
    </row>
    <row r="688" spans="3:3" x14ac:dyDescent="0.25">
      <c r="C688" s="25"/>
    </row>
    <row r="689" spans="3:3" x14ac:dyDescent="0.25">
      <c r="C689" s="25"/>
    </row>
    <row r="690" spans="3:3" x14ac:dyDescent="0.25">
      <c r="C690" s="25"/>
    </row>
    <row r="691" spans="3:3" x14ac:dyDescent="0.25">
      <c r="C691" s="25"/>
    </row>
    <row r="692" spans="3:3" x14ac:dyDescent="0.25">
      <c r="C692" s="25"/>
    </row>
    <row r="693" spans="3:3" x14ac:dyDescent="0.25">
      <c r="C693" s="25"/>
    </row>
    <row r="694" spans="3:3" x14ac:dyDescent="0.25">
      <c r="C694" s="25"/>
    </row>
    <row r="695" spans="3:3" x14ac:dyDescent="0.25">
      <c r="C695" s="25"/>
    </row>
    <row r="696" spans="3:3" x14ac:dyDescent="0.25">
      <c r="C696" s="25"/>
    </row>
    <row r="697" spans="3:3" x14ac:dyDescent="0.25">
      <c r="C697" s="25"/>
    </row>
    <row r="698" spans="3:3" x14ac:dyDescent="0.25">
      <c r="C698" s="25"/>
    </row>
    <row r="699" spans="3:3" x14ac:dyDescent="0.25">
      <c r="C699" s="25"/>
    </row>
    <row r="700" spans="3:3" x14ac:dyDescent="0.25">
      <c r="C700" s="25"/>
    </row>
    <row r="701" spans="3:3" x14ac:dyDescent="0.25">
      <c r="C701" s="25"/>
    </row>
    <row r="702" spans="3:3" x14ac:dyDescent="0.25">
      <c r="C702" s="25"/>
    </row>
    <row r="703" spans="3:3" x14ac:dyDescent="0.25">
      <c r="C703" s="25"/>
    </row>
    <row r="704" spans="3:3" x14ac:dyDescent="0.25">
      <c r="C704" s="25"/>
    </row>
    <row r="705" spans="3:3" x14ac:dyDescent="0.25">
      <c r="C705" s="25"/>
    </row>
    <row r="706" spans="3:3" x14ac:dyDescent="0.25">
      <c r="C706" s="25"/>
    </row>
    <row r="707" spans="3:3" x14ac:dyDescent="0.25">
      <c r="C707" s="25"/>
    </row>
    <row r="708" spans="3:3" x14ac:dyDescent="0.25">
      <c r="C708" s="25"/>
    </row>
    <row r="709" spans="3:3" x14ac:dyDescent="0.25">
      <c r="C709" s="25"/>
    </row>
    <row r="710" spans="3:3" x14ac:dyDescent="0.25">
      <c r="C710" s="25"/>
    </row>
    <row r="711" spans="3:3" x14ac:dyDescent="0.25">
      <c r="C711" s="25"/>
    </row>
    <row r="712" spans="3:3" x14ac:dyDescent="0.25">
      <c r="C712" s="25"/>
    </row>
    <row r="713" spans="3:3" x14ac:dyDescent="0.25">
      <c r="C713" s="25"/>
    </row>
    <row r="714" spans="3:3" x14ac:dyDescent="0.25">
      <c r="C714" s="25"/>
    </row>
    <row r="715" spans="3:3" x14ac:dyDescent="0.25">
      <c r="C715" s="25"/>
    </row>
    <row r="716" spans="3:3" x14ac:dyDescent="0.25">
      <c r="C716" s="25"/>
    </row>
    <row r="717" spans="3:3" x14ac:dyDescent="0.25">
      <c r="C717" s="25"/>
    </row>
    <row r="718" spans="3:3" x14ac:dyDescent="0.25">
      <c r="C718" s="25"/>
    </row>
    <row r="719" spans="3:3" x14ac:dyDescent="0.25">
      <c r="C719" s="25"/>
    </row>
    <row r="720" spans="3:3" x14ac:dyDescent="0.25">
      <c r="C720" s="25"/>
    </row>
    <row r="721" spans="3:3" x14ac:dyDescent="0.25">
      <c r="C721" s="25"/>
    </row>
    <row r="722" spans="3:3" x14ac:dyDescent="0.25">
      <c r="C722" s="25"/>
    </row>
    <row r="723" spans="3:3" x14ac:dyDescent="0.25">
      <c r="C723" s="25"/>
    </row>
    <row r="724" spans="3:3" x14ac:dyDescent="0.25">
      <c r="C724" s="25"/>
    </row>
    <row r="725" spans="3:3" x14ac:dyDescent="0.25">
      <c r="C725" s="25"/>
    </row>
    <row r="726" spans="3:3" x14ac:dyDescent="0.25">
      <c r="C726" s="25"/>
    </row>
    <row r="727" spans="3:3" x14ac:dyDescent="0.25">
      <c r="C727" s="25"/>
    </row>
    <row r="728" spans="3:3" x14ac:dyDescent="0.25">
      <c r="C728" s="25"/>
    </row>
    <row r="729" spans="3:3" x14ac:dyDescent="0.25">
      <c r="C729" s="25"/>
    </row>
    <row r="730" spans="3:3" x14ac:dyDescent="0.25">
      <c r="C730" s="25"/>
    </row>
    <row r="731" spans="3:3" x14ac:dyDescent="0.25">
      <c r="C731" s="25"/>
    </row>
    <row r="732" spans="3:3" x14ac:dyDescent="0.25">
      <c r="C732" s="25"/>
    </row>
    <row r="733" spans="3:3" x14ac:dyDescent="0.25">
      <c r="C733" s="25"/>
    </row>
    <row r="734" spans="3:3" x14ac:dyDescent="0.25">
      <c r="C734" s="25"/>
    </row>
    <row r="735" spans="3:3" x14ac:dyDescent="0.25">
      <c r="C735" s="25"/>
    </row>
    <row r="736" spans="3:3" x14ac:dyDescent="0.25">
      <c r="C736" s="25"/>
    </row>
    <row r="737" spans="3:3" x14ac:dyDescent="0.25">
      <c r="C737" s="25"/>
    </row>
    <row r="738" spans="3:3" x14ac:dyDescent="0.25">
      <c r="C738" s="25"/>
    </row>
    <row r="739" spans="3:3" x14ac:dyDescent="0.25">
      <c r="C739" s="25"/>
    </row>
    <row r="740" spans="3:3" x14ac:dyDescent="0.25">
      <c r="C740" s="25"/>
    </row>
    <row r="741" spans="3:3" x14ac:dyDescent="0.25">
      <c r="C741" s="25"/>
    </row>
    <row r="742" spans="3:3" x14ac:dyDescent="0.25">
      <c r="C742" s="25"/>
    </row>
    <row r="743" spans="3:3" x14ac:dyDescent="0.25">
      <c r="C743" s="25"/>
    </row>
    <row r="744" spans="3:3" x14ac:dyDescent="0.25">
      <c r="C744" s="25"/>
    </row>
    <row r="745" spans="3:3" x14ac:dyDescent="0.25">
      <c r="C745" s="25"/>
    </row>
    <row r="746" spans="3:3" x14ac:dyDescent="0.25">
      <c r="C746" s="25"/>
    </row>
    <row r="747" spans="3:3" x14ac:dyDescent="0.25">
      <c r="C747" s="25"/>
    </row>
    <row r="748" spans="3:3" x14ac:dyDescent="0.25">
      <c r="C748" s="25"/>
    </row>
    <row r="749" spans="3:3" x14ac:dyDescent="0.25">
      <c r="C749" s="25"/>
    </row>
    <row r="750" spans="3:3" x14ac:dyDescent="0.25">
      <c r="C750" s="25"/>
    </row>
    <row r="751" spans="3:3" x14ac:dyDescent="0.25">
      <c r="C751" s="25"/>
    </row>
    <row r="752" spans="3:3" x14ac:dyDescent="0.25">
      <c r="C752" s="25"/>
    </row>
    <row r="753" spans="3:3" x14ac:dyDescent="0.25">
      <c r="C753" s="25"/>
    </row>
    <row r="754" spans="3:3" x14ac:dyDescent="0.25">
      <c r="C754" s="25"/>
    </row>
    <row r="755" spans="3:3" x14ac:dyDescent="0.25">
      <c r="C755" s="25"/>
    </row>
    <row r="756" spans="3:3" x14ac:dyDescent="0.25">
      <c r="C756" s="25"/>
    </row>
    <row r="757" spans="3:3" x14ac:dyDescent="0.25">
      <c r="C757" s="25"/>
    </row>
    <row r="758" spans="3:3" x14ac:dyDescent="0.25">
      <c r="C758" s="25"/>
    </row>
    <row r="759" spans="3:3" x14ac:dyDescent="0.25">
      <c r="C759" s="25"/>
    </row>
    <row r="760" spans="3:3" x14ac:dyDescent="0.25">
      <c r="C760" s="25"/>
    </row>
    <row r="761" spans="3:3" x14ac:dyDescent="0.25">
      <c r="C761" s="25"/>
    </row>
    <row r="762" spans="3:3" x14ac:dyDescent="0.25">
      <c r="C762" s="25"/>
    </row>
    <row r="763" spans="3:3" x14ac:dyDescent="0.25">
      <c r="C763" s="25"/>
    </row>
    <row r="764" spans="3:3" x14ac:dyDescent="0.25">
      <c r="C764" s="25"/>
    </row>
    <row r="765" spans="3:3" x14ac:dyDescent="0.25">
      <c r="C765" s="25"/>
    </row>
    <row r="766" spans="3:3" x14ac:dyDescent="0.25">
      <c r="C766" s="25"/>
    </row>
    <row r="767" spans="3:3" x14ac:dyDescent="0.25">
      <c r="C767" s="25"/>
    </row>
    <row r="768" spans="3:3" x14ac:dyDescent="0.25">
      <c r="C768" s="25"/>
    </row>
    <row r="769" spans="3:3" x14ac:dyDescent="0.25">
      <c r="C769" s="25"/>
    </row>
    <row r="770" spans="3:3" x14ac:dyDescent="0.25">
      <c r="C770" s="25"/>
    </row>
    <row r="771" spans="3:3" x14ac:dyDescent="0.25">
      <c r="C771" s="25"/>
    </row>
    <row r="772" spans="3:3" x14ac:dyDescent="0.25">
      <c r="C772" s="25"/>
    </row>
    <row r="773" spans="3:3" x14ac:dyDescent="0.25">
      <c r="C773" s="25"/>
    </row>
    <row r="774" spans="3:3" x14ac:dyDescent="0.25">
      <c r="C774" s="25"/>
    </row>
    <row r="775" spans="3:3" x14ac:dyDescent="0.25">
      <c r="C775" s="25"/>
    </row>
    <row r="776" spans="3:3" x14ac:dyDescent="0.25">
      <c r="C776" s="25"/>
    </row>
    <row r="777" spans="3:3" x14ac:dyDescent="0.25">
      <c r="C777" s="25"/>
    </row>
    <row r="778" spans="3:3" x14ac:dyDescent="0.25">
      <c r="C778" s="25"/>
    </row>
    <row r="779" spans="3:3" x14ac:dyDescent="0.25">
      <c r="C779" s="25"/>
    </row>
    <row r="780" spans="3:3" x14ac:dyDescent="0.25">
      <c r="C780" s="25"/>
    </row>
    <row r="781" spans="3:3" x14ac:dyDescent="0.25">
      <c r="C781" s="25"/>
    </row>
    <row r="782" spans="3:3" x14ac:dyDescent="0.25">
      <c r="C782" s="25"/>
    </row>
    <row r="783" spans="3:3" x14ac:dyDescent="0.25">
      <c r="C783" s="25"/>
    </row>
    <row r="784" spans="3:3" x14ac:dyDescent="0.25">
      <c r="C784" s="25"/>
    </row>
    <row r="785" spans="3:3" x14ac:dyDescent="0.25">
      <c r="C785" s="25"/>
    </row>
    <row r="786" spans="3:3" x14ac:dyDescent="0.25">
      <c r="C786" s="25"/>
    </row>
    <row r="787" spans="3:3" x14ac:dyDescent="0.25">
      <c r="C787" s="25"/>
    </row>
    <row r="788" spans="3:3" x14ac:dyDescent="0.25">
      <c r="C788" s="25"/>
    </row>
    <row r="789" spans="3:3" x14ac:dyDescent="0.25">
      <c r="C789" s="25"/>
    </row>
    <row r="790" spans="3:3" x14ac:dyDescent="0.25">
      <c r="C790" s="25"/>
    </row>
    <row r="791" spans="3:3" x14ac:dyDescent="0.25">
      <c r="C791" s="25"/>
    </row>
    <row r="792" spans="3:3" x14ac:dyDescent="0.25">
      <c r="C792" s="25"/>
    </row>
    <row r="793" spans="3:3" x14ac:dyDescent="0.25">
      <c r="C793" s="25"/>
    </row>
    <row r="794" spans="3:3" x14ac:dyDescent="0.25">
      <c r="C794" s="25"/>
    </row>
    <row r="795" spans="3:3" x14ac:dyDescent="0.25">
      <c r="C795" s="25"/>
    </row>
    <row r="796" spans="3:3" x14ac:dyDescent="0.25">
      <c r="C796" s="25"/>
    </row>
    <row r="797" spans="3:3" x14ac:dyDescent="0.25">
      <c r="C797" s="25"/>
    </row>
    <row r="798" spans="3:3" x14ac:dyDescent="0.25">
      <c r="C798" s="25"/>
    </row>
    <row r="799" spans="3:3" x14ac:dyDescent="0.25">
      <c r="C799" s="25"/>
    </row>
    <row r="800" spans="3:3" x14ac:dyDescent="0.25">
      <c r="C800" s="25"/>
    </row>
    <row r="801" spans="3:3" x14ac:dyDescent="0.25">
      <c r="C801" s="25"/>
    </row>
    <row r="802" spans="3:3" x14ac:dyDescent="0.25">
      <c r="C802" s="25"/>
    </row>
    <row r="803" spans="3:3" x14ac:dyDescent="0.25">
      <c r="C803" s="25"/>
    </row>
    <row r="804" spans="3:3" x14ac:dyDescent="0.25">
      <c r="C804" s="25"/>
    </row>
    <row r="805" spans="3:3" x14ac:dyDescent="0.25">
      <c r="C805" s="25"/>
    </row>
    <row r="806" spans="3:3" x14ac:dyDescent="0.25">
      <c r="C806" s="25"/>
    </row>
    <row r="807" spans="3:3" x14ac:dyDescent="0.25">
      <c r="C807" s="25"/>
    </row>
    <row r="808" spans="3:3" x14ac:dyDescent="0.25">
      <c r="C808" s="25"/>
    </row>
    <row r="809" spans="3:3" x14ac:dyDescent="0.25">
      <c r="C809" s="25"/>
    </row>
    <row r="810" spans="3:3" x14ac:dyDescent="0.25">
      <c r="C810" s="25"/>
    </row>
    <row r="811" spans="3:3" x14ac:dyDescent="0.25">
      <c r="C811" s="25"/>
    </row>
    <row r="812" spans="3:3" x14ac:dyDescent="0.25">
      <c r="C812" s="25"/>
    </row>
    <row r="813" spans="3:3" x14ac:dyDescent="0.25">
      <c r="C813" s="25"/>
    </row>
    <row r="814" spans="3:3" x14ac:dyDescent="0.25">
      <c r="C814" s="25"/>
    </row>
    <row r="815" spans="3:3" x14ac:dyDescent="0.25">
      <c r="C815" s="25"/>
    </row>
    <row r="816" spans="3:3" x14ac:dyDescent="0.25">
      <c r="C816" s="25"/>
    </row>
    <row r="817" spans="3:3" x14ac:dyDescent="0.25">
      <c r="C817" s="25"/>
    </row>
    <row r="818" spans="3:3" x14ac:dyDescent="0.25">
      <c r="C818" s="25"/>
    </row>
    <row r="819" spans="3:3" x14ac:dyDescent="0.25">
      <c r="C819" s="25"/>
    </row>
    <row r="820" spans="3:3" x14ac:dyDescent="0.25">
      <c r="C820" s="25"/>
    </row>
    <row r="821" spans="3:3" x14ac:dyDescent="0.25">
      <c r="C821" s="25"/>
    </row>
    <row r="822" spans="3:3" x14ac:dyDescent="0.25">
      <c r="C822" s="25"/>
    </row>
    <row r="823" spans="3:3" x14ac:dyDescent="0.25">
      <c r="C823" s="25"/>
    </row>
    <row r="824" spans="3:3" x14ac:dyDescent="0.25">
      <c r="C824" s="25"/>
    </row>
    <row r="825" spans="3:3" x14ac:dyDescent="0.25">
      <c r="C825" s="25"/>
    </row>
    <row r="826" spans="3:3" x14ac:dyDescent="0.25">
      <c r="C826" s="25"/>
    </row>
    <row r="827" spans="3:3" x14ac:dyDescent="0.25">
      <c r="C827" s="25"/>
    </row>
    <row r="828" spans="3:3" x14ac:dyDescent="0.25">
      <c r="C828" s="25"/>
    </row>
    <row r="829" spans="3:3" x14ac:dyDescent="0.25">
      <c r="C829" s="25"/>
    </row>
    <row r="830" spans="3:3" x14ac:dyDescent="0.25">
      <c r="C830" s="25"/>
    </row>
    <row r="831" spans="3:3" x14ac:dyDescent="0.25">
      <c r="C831" s="25"/>
    </row>
    <row r="832" spans="3:3" x14ac:dyDescent="0.25">
      <c r="C832" s="25"/>
    </row>
    <row r="833" spans="3:3" x14ac:dyDescent="0.25">
      <c r="C833" s="25"/>
    </row>
    <row r="834" spans="3:3" x14ac:dyDescent="0.25">
      <c r="C834" s="25"/>
    </row>
    <row r="835" spans="3:3" x14ac:dyDescent="0.25">
      <c r="C835" s="25"/>
    </row>
    <row r="836" spans="3:3" x14ac:dyDescent="0.25">
      <c r="C836" s="25"/>
    </row>
    <row r="837" spans="3:3" x14ac:dyDescent="0.25">
      <c r="C837" s="25"/>
    </row>
    <row r="838" spans="3:3" x14ac:dyDescent="0.25">
      <c r="C838" s="25"/>
    </row>
    <row r="839" spans="3:3" x14ac:dyDescent="0.25">
      <c r="C839" s="25"/>
    </row>
    <row r="840" spans="3:3" x14ac:dyDescent="0.25">
      <c r="C840" s="25"/>
    </row>
    <row r="841" spans="3:3" x14ac:dyDescent="0.25">
      <c r="C841" s="25"/>
    </row>
    <row r="842" spans="3:3" x14ac:dyDescent="0.25">
      <c r="C842" s="25"/>
    </row>
    <row r="843" spans="3:3" x14ac:dyDescent="0.25">
      <c r="C843" s="25"/>
    </row>
    <row r="844" spans="3:3" x14ac:dyDescent="0.25">
      <c r="C844" s="25"/>
    </row>
    <row r="845" spans="3:3" x14ac:dyDescent="0.25">
      <c r="C845" s="25"/>
    </row>
    <row r="846" spans="3:3" x14ac:dyDescent="0.25">
      <c r="C846" s="25"/>
    </row>
    <row r="847" spans="3:3" x14ac:dyDescent="0.25">
      <c r="C847" s="25"/>
    </row>
    <row r="848" spans="3:3" x14ac:dyDescent="0.25">
      <c r="C848" s="25"/>
    </row>
    <row r="849" spans="3:3" x14ac:dyDescent="0.25">
      <c r="C849" s="25"/>
    </row>
    <row r="850" spans="3:3" x14ac:dyDescent="0.25">
      <c r="C850" s="25"/>
    </row>
    <row r="851" spans="3:3" x14ac:dyDescent="0.25">
      <c r="C851" s="25"/>
    </row>
    <row r="852" spans="3:3" x14ac:dyDescent="0.25">
      <c r="C852" s="25"/>
    </row>
    <row r="853" spans="3:3" x14ac:dyDescent="0.25">
      <c r="C853" s="25"/>
    </row>
    <row r="854" spans="3:3" x14ac:dyDescent="0.25">
      <c r="C854" s="25"/>
    </row>
    <row r="855" spans="3:3" x14ac:dyDescent="0.25">
      <c r="C855" s="25"/>
    </row>
    <row r="856" spans="3:3" x14ac:dyDescent="0.25">
      <c r="C856" s="25"/>
    </row>
    <row r="857" spans="3:3" x14ac:dyDescent="0.25">
      <c r="C857" s="25"/>
    </row>
    <row r="858" spans="3:3" x14ac:dyDescent="0.25">
      <c r="C858" s="25"/>
    </row>
    <row r="859" spans="3:3" x14ac:dyDescent="0.25">
      <c r="C859" s="25"/>
    </row>
    <row r="860" spans="3:3" x14ac:dyDescent="0.25">
      <c r="C860" s="25"/>
    </row>
    <row r="861" spans="3:3" x14ac:dyDescent="0.25">
      <c r="C861" s="25"/>
    </row>
    <row r="862" spans="3:3" x14ac:dyDescent="0.25">
      <c r="C862" s="25"/>
    </row>
    <row r="863" spans="3:3" x14ac:dyDescent="0.25">
      <c r="C863" s="25"/>
    </row>
    <row r="864" spans="3:3" x14ac:dyDescent="0.25">
      <c r="C864" s="25"/>
    </row>
    <row r="865" spans="3:3" x14ac:dyDescent="0.25">
      <c r="C865" s="25"/>
    </row>
    <row r="866" spans="3:3" x14ac:dyDescent="0.25">
      <c r="C866" s="25"/>
    </row>
    <row r="867" spans="3:3" x14ac:dyDescent="0.25">
      <c r="C867" s="25"/>
    </row>
    <row r="868" spans="3:3" x14ac:dyDescent="0.25">
      <c r="C868" s="25"/>
    </row>
    <row r="869" spans="3:3" x14ac:dyDescent="0.25">
      <c r="C869" s="25"/>
    </row>
    <row r="870" spans="3:3" x14ac:dyDescent="0.25">
      <c r="C870" s="25"/>
    </row>
    <row r="871" spans="3:3" x14ac:dyDescent="0.25">
      <c r="C871" s="25"/>
    </row>
    <row r="872" spans="3:3" x14ac:dyDescent="0.25">
      <c r="C872" s="25"/>
    </row>
    <row r="873" spans="3:3" x14ac:dyDescent="0.25">
      <c r="C873" s="25"/>
    </row>
    <row r="874" spans="3:3" x14ac:dyDescent="0.25">
      <c r="C874" s="25"/>
    </row>
    <row r="875" spans="3:3" x14ac:dyDescent="0.25">
      <c r="C875" s="25"/>
    </row>
    <row r="876" spans="3:3" x14ac:dyDescent="0.25">
      <c r="C876" s="25"/>
    </row>
    <row r="877" spans="3:3" x14ac:dyDescent="0.25">
      <c r="C877" s="25"/>
    </row>
    <row r="878" spans="3:3" x14ac:dyDescent="0.25">
      <c r="C878" s="25"/>
    </row>
    <row r="879" spans="3:3" x14ac:dyDescent="0.25">
      <c r="C879" s="25"/>
    </row>
    <row r="880" spans="3:3" x14ac:dyDescent="0.25">
      <c r="C880" s="25"/>
    </row>
    <row r="881" spans="3:3" x14ac:dyDescent="0.25">
      <c r="C881" s="25"/>
    </row>
    <row r="882" spans="3:3" x14ac:dyDescent="0.25">
      <c r="C882" s="25"/>
    </row>
    <row r="883" spans="3:3" x14ac:dyDescent="0.25">
      <c r="C883" s="25"/>
    </row>
    <row r="884" spans="3:3" x14ac:dyDescent="0.25">
      <c r="C884" s="25"/>
    </row>
    <row r="885" spans="3:3" x14ac:dyDescent="0.25">
      <c r="C885" s="25"/>
    </row>
    <row r="886" spans="3:3" x14ac:dyDescent="0.25">
      <c r="C886" s="25"/>
    </row>
    <row r="887" spans="3:3" x14ac:dyDescent="0.25">
      <c r="C887" s="25"/>
    </row>
    <row r="888" spans="3:3" x14ac:dyDescent="0.25">
      <c r="C888" s="25"/>
    </row>
    <row r="889" spans="3:3" x14ac:dyDescent="0.25">
      <c r="C889" s="25"/>
    </row>
    <row r="890" spans="3:3" x14ac:dyDescent="0.25">
      <c r="C890" s="25"/>
    </row>
    <row r="891" spans="3:3" x14ac:dyDescent="0.25">
      <c r="C891" s="25"/>
    </row>
    <row r="892" spans="3:3" x14ac:dyDescent="0.25">
      <c r="C892" s="25"/>
    </row>
    <row r="893" spans="3:3" x14ac:dyDescent="0.25">
      <c r="C893" s="25"/>
    </row>
    <row r="894" spans="3:3" x14ac:dyDescent="0.25">
      <c r="C894" s="25"/>
    </row>
    <row r="895" spans="3:3" x14ac:dyDescent="0.25">
      <c r="C895" s="25"/>
    </row>
    <row r="896" spans="3:3" x14ac:dyDescent="0.25">
      <c r="C896" s="25"/>
    </row>
    <row r="897" spans="3:3" x14ac:dyDescent="0.25">
      <c r="C897" s="25"/>
    </row>
    <row r="898" spans="3:3" x14ac:dyDescent="0.25">
      <c r="C898" s="25"/>
    </row>
    <row r="899" spans="3:3" x14ac:dyDescent="0.25">
      <c r="C899" s="25"/>
    </row>
    <row r="900" spans="3:3" x14ac:dyDescent="0.25">
      <c r="C900" s="25"/>
    </row>
    <row r="901" spans="3:3" x14ac:dyDescent="0.25">
      <c r="C901" s="25"/>
    </row>
    <row r="902" spans="3:3" x14ac:dyDescent="0.25">
      <c r="C902" s="25"/>
    </row>
    <row r="903" spans="3:3" x14ac:dyDescent="0.25">
      <c r="C903" s="25"/>
    </row>
    <row r="904" spans="3:3" x14ac:dyDescent="0.25">
      <c r="C904" s="25"/>
    </row>
  </sheetData>
  <conditionalFormatting sqref="E5:E64">
    <cfRule type="cellIs" dxfId="29" priority="1" operator="equal">
      <formula>1</formula>
    </cfRule>
  </conditionalFormatting>
  <hyperlinks>
    <hyperlink ref="J1" location="'Read Me'!A1" display="Return to 'Read Me'"/>
    <hyperlink ref="J2" location="Summary!A1" display="Return to 'Summary'"/>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Read Me</vt:lpstr>
      <vt:lpstr>Inputs</vt:lpstr>
      <vt:lpstr>Summary</vt:lpstr>
      <vt:lpstr>Asset and Liability Durations</vt:lpstr>
      <vt:lpstr>Sensitivities</vt:lpstr>
      <vt:lpstr>Annual Single Life 55</vt:lpstr>
      <vt:lpstr>Annual Single Life 55 RP=15</vt:lpstr>
      <vt:lpstr>Annual Single Life 60</vt:lpstr>
      <vt:lpstr>Annual Single Life 60 RP=15</vt:lpstr>
      <vt:lpstr>Annual Single Life 65</vt:lpstr>
      <vt:lpstr>Annual Single Life 65 RP=15</vt:lpstr>
      <vt:lpstr>Annual Single Life 70</vt:lpstr>
      <vt:lpstr>Annual Single Life 70 RP=15</vt:lpstr>
      <vt:lpstr>Annual Single Life 75</vt:lpstr>
      <vt:lpstr>Annual Single Life 75 RP=10</vt:lpstr>
      <vt:lpstr>Annual Single Life 75 RP=15</vt:lpstr>
      <vt:lpstr>Annual Single Life 75 RP=20</vt:lpstr>
      <vt:lpstr>Annual Single Life 80</vt:lpstr>
      <vt:lpstr>Annual Single Life 80 RP=5</vt:lpstr>
      <vt:lpstr>Annual Single Life 80 RP=10</vt:lpstr>
      <vt:lpstr>Annual Single Life 80 RP=15</vt:lpstr>
      <vt:lpstr>Annual Single Life 80 RP=20</vt:lpstr>
      <vt:lpstr>Annual Single Life 85</vt:lpstr>
      <vt:lpstr>Annual Single Life 85 RP=5</vt:lpstr>
      <vt:lpstr>Annual Single Life 85 RP=10</vt:lpstr>
      <vt:lpstr>Annual Single Life 85 RP=15</vt:lpstr>
      <vt:lpstr>Annual Single Life 85 RP=20</vt:lpstr>
      <vt:lpstr>Annual Single Life 91</vt:lpstr>
      <vt:lpstr>Annual Single Life 91 RP=5</vt:lpstr>
      <vt:lpstr>Annual Single Life 91 RP=10</vt:lpstr>
      <vt:lpstr>Annual Single Life 91 RP=15</vt:lpstr>
      <vt:lpstr>Annual Single Life 91 RP=20</vt:lpstr>
      <vt:lpstr>5Y Term Certain</vt:lpstr>
      <vt:lpstr>10Y Term Certain</vt:lpstr>
      <vt:lpstr>15Y Term Certain </vt:lpstr>
      <vt:lpstr>25Y Term Certain</vt:lpstr>
      <vt:lpstr>Joint Life 55</vt:lpstr>
      <vt:lpstr>Joint Life 55 RP = 15</vt:lpstr>
      <vt:lpstr>Joint Life 91</vt:lpstr>
    </vt:vector>
  </TitlesOfParts>
  <Company>Member Company of the AEGON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Conrad, Chris</dc:creator>
  <cp:lastModifiedBy>Amanda Darlington</cp:lastModifiedBy>
  <cp:lastPrinted>2016-09-20T17:45:04Z</cp:lastPrinted>
  <dcterms:created xsi:type="dcterms:W3CDTF">2016-05-11T20:05:45Z</dcterms:created>
  <dcterms:modified xsi:type="dcterms:W3CDTF">2016-11-02T15:20:55Z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